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W94" i="1"/>
  <c r="AV94"/>
  <c r="AU94"/>
  <c r="AX94" s="1"/>
  <c r="AO94"/>
  <c r="AN94"/>
  <c r="AM94"/>
  <c r="AK94"/>
  <c r="AJ94"/>
  <c r="AI94"/>
  <c r="AG94"/>
  <c r="AF94"/>
  <c r="AE94"/>
  <c r="AC94"/>
  <c r="AB94"/>
  <c r="AA94"/>
  <c r="Y94"/>
  <c r="X94"/>
  <c r="W94"/>
  <c r="U94"/>
  <c r="T94"/>
  <c r="S94"/>
  <c r="Q94"/>
  <c r="P94"/>
  <c r="O94"/>
  <c r="M94"/>
  <c r="L94"/>
  <c r="K94"/>
  <c r="I94"/>
  <c r="H94"/>
  <c r="G94"/>
  <c r="E94"/>
  <c r="D94"/>
  <c r="C94"/>
  <c r="AX93"/>
  <c r="AT93"/>
  <c r="AP93"/>
  <c r="AL93"/>
  <c r="AH93"/>
  <c r="AD93"/>
  <c r="Z93"/>
  <c r="V93"/>
  <c r="R93"/>
  <c r="N93"/>
  <c r="J93"/>
  <c r="F93"/>
  <c r="AX92"/>
  <c r="AT92"/>
  <c r="AP92"/>
  <c r="AL92"/>
  <c r="AH92"/>
  <c r="AD92"/>
  <c r="Z92"/>
  <c r="V92"/>
  <c r="R92"/>
  <c r="N92"/>
  <c r="J92"/>
  <c r="F92"/>
  <c r="AX91"/>
  <c r="AT91"/>
  <c r="AP91"/>
  <c r="AL91"/>
  <c r="AH91"/>
  <c r="AD91"/>
  <c r="Z91"/>
  <c r="V91"/>
  <c r="R91"/>
  <c r="N91"/>
  <c r="J91"/>
  <c r="F91"/>
  <c r="AY91" s="1"/>
  <c r="AX90"/>
  <c r="AT90"/>
  <c r="AP90"/>
  <c r="AL90"/>
  <c r="AH90"/>
  <c r="AD90"/>
  <c r="Z90"/>
  <c r="V90"/>
  <c r="R90"/>
  <c r="N90"/>
  <c r="J90"/>
  <c r="F90"/>
  <c r="AX89"/>
  <c r="AT89"/>
  <c r="AS89"/>
  <c r="AP89"/>
  <c r="AL89"/>
  <c r="AH89"/>
  <c r="AD89"/>
  <c r="Z89"/>
  <c r="V89"/>
  <c r="R89"/>
  <c r="N89"/>
  <c r="J89"/>
  <c r="F89"/>
  <c r="AX88"/>
  <c r="AT88"/>
  <c r="AP88"/>
  <c r="AL88"/>
  <c r="AH88"/>
  <c r="AD88"/>
  <c r="Z88"/>
  <c r="V88"/>
  <c r="R88"/>
  <c r="N88"/>
  <c r="J88"/>
  <c r="F88"/>
  <c r="AX87"/>
  <c r="AT87"/>
  <c r="AP87"/>
  <c r="AL87"/>
  <c r="AH87"/>
  <c r="AD87"/>
  <c r="Z87"/>
  <c r="V87"/>
  <c r="R87"/>
  <c r="N87"/>
  <c r="J87"/>
  <c r="F87"/>
  <c r="AX86"/>
  <c r="AT86"/>
  <c r="AP86"/>
  <c r="AL86"/>
  <c r="AH86"/>
  <c r="AD86"/>
  <c r="Z86"/>
  <c r="V86"/>
  <c r="R86"/>
  <c r="N86"/>
  <c r="J86"/>
  <c r="F86"/>
  <c r="AX85"/>
  <c r="AT85"/>
  <c r="AP85"/>
  <c r="AL85"/>
  <c r="AH85"/>
  <c r="AD85"/>
  <c r="Z85"/>
  <c r="V85"/>
  <c r="R85"/>
  <c r="N85"/>
  <c r="J85"/>
  <c r="F85"/>
  <c r="AY85" s="1"/>
  <c r="AX84"/>
  <c r="AT84"/>
  <c r="AP84"/>
  <c r="AL84"/>
  <c r="AH84"/>
  <c r="AD84"/>
  <c r="Z84"/>
  <c r="V84"/>
  <c r="R84"/>
  <c r="N84"/>
  <c r="J84"/>
  <c r="F84"/>
  <c r="AX83"/>
  <c r="AT83"/>
  <c r="AP83"/>
  <c r="AL83"/>
  <c r="AH83"/>
  <c r="AD83"/>
  <c r="Z83"/>
  <c r="V83"/>
  <c r="R83"/>
  <c r="N83"/>
  <c r="J83"/>
  <c r="F83"/>
  <c r="AT82"/>
  <c r="AP82"/>
  <c r="AL82"/>
  <c r="AH82"/>
  <c r="AD82"/>
  <c r="Z82"/>
  <c r="V82"/>
  <c r="R82"/>
  <c r="N82"/>
  <c r="J82"/>
  <c r="F82"/>
  <c r="AX81"/>
  <c r="AT81"/>
  <c r="AP81"/>
  <c r="AL81"/>
  <c r="AH81"/>
  <c r="AD81"/>
  <c r="Z81"/>
  <c r="V81"/>
  <c r="R81"/>
  <c r="N81"/>
  <c r="J81"/>
  <c r="F81"/>
  <c r="AX80"/>
  <c r="AT80"/>
  <c r="AP80"/>
  <c r="AL80"/>
  <c r="AH80"/>
  <c r="AD80"/>
  <c r="Z80"/>
  <c r="V80"/>
  <c r="R80"/>
  <c r="N80"/>
  <c r="J80"/>
  <c r="F80"/>
  <c r="AX79"/>
  <c r="AT79"/>
  <c r="AP79"/>
  <c r="AL79"/>
  <c r="AH79"/>
  <c r="AD79"/>
  <c r="Z79"/>
  <c r="V79"/>
  <c r="R79"/>
  <c r="N79"/>
  <c r="J79"/>
  <c r="F79"/>
  <c r="AX78"/>
  <c r="AS78"/>
  <c r="AT78" s="1"/>
  <c r="AP78"/>
  <c r="AL78"/>
  <c r="AH78"/>
  <c r="AD78"/>
  <c r="Z78"/>
  <c r="V78"/>
  <c r="R78"/>
  <c r="N78"/>
  <c r="J78"/>
  <c r="AY78" s="1"/>
  <c r="F78"/>
  <c r="AX77"/>
  <c r="AT77"/>
  <c r="AS77"/>
  <c r="AP77"/>
  <c r="AL77"/>
  <c r="AH77"/>
  <c r="AD77"/>
  <c r="Z77"/>
  <c r="V77"/>
  <c r="R77"/>
  <c r="N77"/>
  <c r="J77"/>
  <c r="F77"/>
  <c r="AX76"/>
  <c r="AS76"/>
  <c r="AT76" s="1"/>
  <c r="AP76"/>
  <c r="AL76"/>
  <c r="AH76"/>
  <c r="AD76"/>
  <c r="Z76"/>
  <c r="V76"/>
  <c r="R76"/>
  <c r="N76"/>
  <c r="J76"/>
  <c r="F76"/>
  <c r="AX75"/>
  <c r="AS75"/>
  <c r="AT75" s="1"/>
  <c r="AP75"/>
  <c r="AL75"/>
  <c r="AH75"/>
  <c r="AD75"/>
  <c r="Z75"/>
  <c r="V75"/>
  <c r="R75"/>
  <c r="N75"/>
  <c r="J75"/>
  <c r="F75"/>
  <c r="AX74"/>
  <c r="AT74"/>
  <c r="AP74"/>
  <c r="AL74"/>
  <c r="AH74"/>
  <c r="AD74"/>
  <c r="Z74"/>
  <c r="V74"/>
  <c r="R74"/>
  <c r="N74"/>
  <c r="J74"/>
  <c r="F74"/>
  <c r="AX73"/>
  <c r="AT73"/>
  <c r="AP73"/>
  <c r="AL73"/>
  <c r="AH73"/>
  <c r="AD73"/>
  <c r="Z73"/>
  <c r="V73"/>
  <c r="R73"/>
  <c r="N73"/>
  <c r="J73"/>
  <c r="F73"/>
  <c r="AY73" s="1"/>
  <c r="AT72"/>
  <c r="AP72"/>
  <c r="AL72"/>
  <c r="AH72"/>
  <c r="AD72"/>
  <c r="Z72"/>
  <c r="V72"/>
  <c r="R72"/>
  <c r="N72"/>
  <c r="J72"/>
  <c r="F72"/>
  <c r="AX71"/>
  <c r="AT71"/>
  <c r="AP71"/>
  <c r="AL71"/>
  <c r="AH71"/>
  <c r="AD71"/>
  <c r="Z71"/>
  <c r="V71"/>
  <c r="R71"/>
  <c r="N71"/>
  <c r="J71"/>
  <c r="F71"/>
  <c r="AX70"/>
  <c r="AR70"/>
  <c r="AT70" s="1"/>
  <c r="AP70"/>
  <c r="AL70"/>
  <c r="AH70"/>
  <c r="AD70"/>
  <c r="Z70"/>
  <c r="V70"/>
  <c r="R70"/>
  <c r="N70"/>
  <c r="J70"/>
  <c r="F70"/>
  <c r="AX69"/>
  <c r="AS69"/>
  <c r="AR69"/>
  <c r="AT69" s="1"/>
  <c r="AQ69"/>
  <c r="AP69"/>
  <c r="AL69"/>
  <c r="AH69"/>
  <c r="AD69"/>
  <c r="Z69"/>
  <c r="V69"/>
  <c r="R69"/>
  <c r="N69"/>
  <c r="J69"/>
  <c r="F69"/>
  <c r="AX68"/>
  <c r="AT68"/>
  <c r="AP68"/>
  <c r="AL68"/>
  <c r="AH68"/>
  <c r="AD68"/>
  <c r="Z68"/>
  <c r="V68"/>
  <c r="R68"/>
  <c r="N68"/>
  <c r="J68"/>
  <c r="F68"/>
  <c r="AY68" s="1"/>
  <c r="AX67"/>
  <c r="AT67"/>
  <c r="AP67"/>
  <c r="AL67"/>
  <c r="AH67"/>
  <c r="AD67"/>
  <c r="Z67"/>
  <c r="V67"/>
  <c r="R67"/>
  <c r="N67"/>
  <c r="J67"/>
  <c r="F67"/>
  <c r="AT66"/>
  <c r="AP66"/>
  <c r="AL66"/>
  <c r="AH66"/>
  <c r="AD66"/>
  <c r="Z66"/>
  <c r="V66"/>
  <c r="R66"/>
  <c r="N66"/>
  <c r="J66"/>
  <c r="F66"/>
  <c r="AX65"/>
  <c r="AQ65"/>
  <c r="AT65" s="1"/>
  <c r="AP65"/>
  <c r="AL65"/>
  <c r="AH65"/>
  <c r="AD65"/>
  <c r="Z65"/>
  <c r="V65"/>
  <c r="R65"/>
  <c r="N65"/>
  <c r="J65"/>
  <c r="F65"/>
  <c r="AX64"/>
  <c r="AT64"/>
  <c r="AS64"/>
  <c r="AP64"/>
  <c r="AL64"/>
  <c r="AH64"/>
  <c r="AD64"/>
  <c r="Z64"/>
  <c r="V64"/>
  <c r="R64"/>
  <c r="N64"/>
  <c r="J64"/>
  <c r="F64"/>
  <c r="AX63"/>
  <c r="AT63"/>
  <c r="AP63"/>
  <c r="AL63"/>
  <c r="AH63"/>
  <c r="AD63"/>
  <c r="Z63"/>
  <c r="V63"/>
  <c r="R63"/>
  <c r="N63"/>
  <c r="J63"/>
  <c r="F63"/>
  <c r="AX62"/>
  <c r="AS62"/>
  <c r="AT62" s="1"/>
  <c r="AP62"/>
  <c r="AL62"/>
  <c r="AH62"/>
  <c r="AD62"/>
  <c r="Z62"/>
  <c r="V62"/>
  <c r="R62"/>
  <c r="N62"/>
  <c r="J62"/>
  <c r="F62"/>
  <c r="AX61"/>
  <c r="AT61"/>
  <c r="AS61"/>
  <c r="AP61"/>
  <c r="AL61"/>
  <c r="AH61"/>
  <c r="AD61"/>
  <c r="Z61"/>
  <c r="V61"/>
  <c r="R61"/>
  <c r="N61"/>
  <c r="J61"/>
  <c r="F61"/>
  <c r="AX60"/>
  <c r="AS60"/>
  <c r="AT60" s="1"/>
  <c r="AP60"/>
  <c r="AL60"/>
  <c r="AH60"/>
  <c r="AD60"/>
  <c r="Z60"/>
  <c r="V60"/>
  <c r="R60"/>
  <c r="N60"/>
  <c r="J60"/>
  <c r="F60"/>
  <c r="AX59"/>
  <c r="AS59"/>
  <c r="AT59" s="1"/>
  <c r="AP59"/>
  <c r="AL59"/>
  <c r="AH59"/>
  <c r="AD59"/>
  <c r="Z59"/>
  <c r="V59"/>
  <c r="R59"/>
  <c r="N59"/>
  <c r="J59"/>
  <c r="F59"/>
  <c r="AX58"/>
  <c r="AS58"/>
  <c r="AR58"/>
  <c r="AQ58"/>
  <c r="AP58"/>
  <c r="AL58"/>
  <c r="AH58"/>
  <c r="AD58"/>
  <c r="Z58"/>
  <c r="V58"/>
  <c r="R58"/>
  <c r="N58"/>
  <c r="J58"/>
  <c r="F58"/>
  <c r="AX57"/>
  <c r="AS57"/>
  <c r="AT57" s="1"/>
  <c r="AQ57"/>
  <c r="AP57"/>
  <c r="AL57"/>
  <c r="AH57"/>
  <c r="AD57"/>
  <c r="Z57"/>
  <c r="V57"/>
  <c r="R57"/>
  <c r="N57"/>
  <c r="J57"/>
  <c r="F57"/>
  <c r="AX56"/>
  <c r="AS56"/>
  <c r="AT56" s="1"/>
  <c r="AP56"/>
  <c r="AL56"/>
  <c r="AH56"/>
  <c r="AD56"/>
  <c r="Z56"/>
  <c r="V56"/>
  <c r="R56"/>
  <c r="N56"/>
  <c r="J56"/>
  <c r="F56"/>
  <c r="AX55"/>
  <c r="AT55"/>
  <c r="AP55"/>
  <c r="AL55"/>
  <c r="AH55"/>
  <c r="AD55"/>
  <c r="Z55"/>
  <c r="V55"/>
  <c r="R55"/>
  <c r="N55"/>
  <c r="J55"/>
  <c r="F55"/>
  <c r="AX54"/>
  <c r="AS54"/>
  <c r="AQ54"/>
  <c r="AT54" s="1"/>
  <c r="AP54"/>
  <c r="AL54"/>
  <c r="AH54"/>
  <c r="AD54"/>
  <c r="Z54"/>
  <c r="V54"/>
  <c r="R54"/>
  <c r="N54"/>
  <c r="J54"/>
  <c r="F54"/>
  <c r="AX53"/>
  <c r="AS53"/>
  <c r="AT53" s="1"/>
  <c r="AP53"/>
  <c r="AL53"/>
  <c r="AH53"/>
  <c r="AD53"/>
  <c r="Z53"/>
  <c r="V53"/>
  <c r="R53"/>
  <c r="N53"/>
  <c r="J53"/>
  <c r="F53"/>
  <c r="AX52"/>
  <c r="AQ52"/>
  <c r="AT52" s="1"/>
  <c r="AP52"/>
  <c r="AL52"/>
  <c r="AH52"/>
  <c r="AD52"/>
  <c r="Z52"/>
  <c r="V52"/>
  <c r="R52"/>
  <c r="N52"/>
  <c r="J52"/>
  <c r="F52"/>
  <c r="AX51"/>
  <c r="AT51"/>
  <c r="AQ51"/>
  <c r="AP51"/>
  <c r="AL51"/>
  <c r="AH51"/>
  <c r="AD51"/>
  <c r="Z51"/>
  <c r="V51"/>
  <c r="R51"/>
  <c r="N51"/>
  <c r="J51"/>
  <c r="F51"/>
  <c r="AX50"/>
  <c r="AT50"/>
  <c r="AS50"/>
  <c r="AP50"/>
  <c r="AL50"/>
  <c r="AH50"/>
  <c r="AD50"/>
  <c r="Z50"/>
  <c r="V50"/>
  <c r="R50"/>
  <c r="N50"/>
  <c r="J50"/>
  <c r="F50"/>
  <c r="AX49"/>
  <c r="AT49"/>
  <c r="AS49"/>
  <c r="AQ49"/>
  <c r="AP49"/>
  <c r="AL49"/>
  <c r="AH49"/>
  <c r="AD49"/>
  <c r="Z49"/>
  <c r="V49"/>
  <c r="R49"/>
  <c r="N49"/>
  <c r="J49"/>
  <c r="F49"/>
  <c r="AY49" s="1"/>
  <c r="AX48"/>
  <c r="AS48"/>
  <c r="AQ48"/>
  <c r="AP48"/>
  <c r="AL48"/>
  <c r="AH48"/>
  <c r="AD48"/>
  <c r="Z48"/>
  <c r="V48"/>
  <c r="R48"/>
  <c r="N48"/>
  <c r="J48"/>
  <c r="F48"/>
  <c r="AX47"/>
  <c r="AS47"/>
  <c r="AQ47"/>
  <c r="AT47" s="1"/>
  <c r="AP47"/>
  <c r="AL47"/>
  <c r="AH47"/>
  <c r="AD47"/>
  <c r="Z47"/>
  <c r="V47"/>
  <c r="R47"/>
  <c r="N47"/>
  <c r="J47"/>
  <c r="F47"/>
  <c r="AX46"/>
  <c r="AS46"/>
  <c r="AT46" s="1"/>
  <c r="AR46"/>
  <c r="AP46"/>
  <c r="AL46"/>
  <c r="AH46"/>
  <c r="AD46"/>
  <c r="Z46"/>
  <c r="V46"/>
  <c r="R46"/>
  <c r="N46"/>
  <c r="J46"/>
  <c r="F46"/>
  <c r="AX45"/>
  <c r="AT45"/>
  <c r="AQ45"/>
  <c r="AP45"/>
  <c r="AL45"/>
  <c r="AH45"/>
  <c r="AD45"/>
  <c r="Z45"/>
  <c r="V45"/>
  <c r="R45"/>
  <c r="N45"/>
  <c r="J45"/>
  <c r="F45"/>
  <c r="AX44"/>
  <c r="AS44"/>
  <c r="AQ44"/>
  <c r="AP44"/>
  <c r="AL44"/>
  <c r="AH44"/>
  <c r="AD44"/>
  <c r="Z44"/>
  <c r="V44"/>
  <c r="R44"/>
  <c r="N44"/>
  <c r="J44"/>
  <c r="F44"/>
  <c r="AX43"/>
  <c r="AS43"/>
  <c r="AR43"/>
  <c r="AQ43"/>
  <c r="AT43" s="1"/>
  <c r="AP43"/>
  <c r="AL43"/>
  <c r="AH43"/>
  <c r="AD43"/>
  <c r="Z43"/>
  <c r="V43"/>
  <c r="R43"/>
  <c r="N43"/>
  <c r="J43"/>
  <c r="F43"/>
  <c r="AX42"/>
  <c r="AQ42"/>
  <c r="AT42" s="1"/>
  <c r="AP42"/>
  <c r="AL42"/>
  <c r="AH42"/>
  <c r="AD42"/>
  <c r="Z42"/>
  <c r="V42"/>
  <c r="R42"/>
  <c r="N42"/>
  <c r="J42"/>
  <c r="F42"/>
  <c r="AX41"/>
  <c r="AT41"/>
  <c r="AP41"/>
  <c r="AL41"/>
  <c r="AH41"/>
  <c r="AD41"/>
  <c r="Z41"/>
  <c r="V41"/>
  <c r="R41"/>
  <c r="N41"/>
  <c r="J41"/>
  <c r="F41"/>
  <c r="AX40"/>
  <c r="AT40"/>
  <c r="AS40"/>
  <c r="AQ40"/>
  <c r="AP40"/>
  <c r="AL40"/>
  <c r="AH40"/>
  <c r="AD40"/>
  <c r="Z40"/>
  <c r="V40"/>
  <c r="R40"/>
  <c r="N40"/>
  <c r="J40"/>
  <c r="F40"/>
  <c r="AY40" s="1"/>
  <c r="AX39"/>
  <c r="AS39"/>
  <c r="AR39"/>
  <c r="AQ39"/>
  <c r="AP39"/>
  <c r="AL39"/>
  <c r="AH39"/>
  <c r="AD39"/>
  <c r="Z39"/>
  <c r="V39"/>
  <c r="R39"/>
  <c r="N39"/>
  <c r="J39"/>
  <c r="F39"/>
  <c r="AX38"/>
  <c r="AS38"/>
  <c r="AR38"/>
  <c r="AQ38"/>
  <c r="AP38"/>
  <c r="AL38"/>
  <c r="AH38"/>
  <c r="AD38"/>
  <c r="Z38"/>
  <c r="V38"/>
  <c r="R38"/>
  <c r="N38"/>
  <c r="J38"/>
  <c r="F38"/>
  <c r="AX37"/>
  <c r="AS37"/>
  <c r="AR37"/>
  <c r="AQ37"/>
  <c r="AP37"/>
  <c r="AL37"/>
  <c r="AH37"/>
  <c r="AD37"/>
  <c r="Z37"/>
  <c r="V37"/>
  <c r="R37"/>
  <c r="N37"/>
  <c r="J37"/>
  <c r="F37"/>
  <c r="AX36"/>
  <c r="AS36"/>
  <c r="AT36" s="1"/>
  <c r="AQ36"/>
  <c r="AP36"/>
  <c r="AL36"/>
  <c r="AH36"/>
  <c r="AD36"/>
  <c r="Z36"/>
  <c r="V36"/>
  <c r="R36"/>
  <c r="N36"/>
  <c r="J36"/>
  <c r="F36"/>
  <c r="AX35"/>
  <c r="AS35"/>
  <c r="AR35"/>
  <c r="AQ35"/>
  <c r="AP35"/>
  <c r="AL35"/>
  <c r="AH35"/>
  <c r="AD35"/>
  <c r="Z35"/>
  <c r="V35"/>
  <c r="R35"/>
  <c r="N35"/>
  <c r="J35"/>
  <c r="F35"/>
  <c r="AX34"/>
  <c r="AS34"/>
  <c r="AR34"/>
  <c r="AQ34"/>
  <c r="AP34"/>
  <c r="AL34"/>
  <c r="AH34"/>
  <c r="AD34"/>
  <c r="Z34"/>
  <c r="V34"/>
  <c r="R34"/>
  <c r="N34"/>
  <c r="J34"/>
  <c r="F34"/>
  <c r="AX33"/>
  <c r="AS33"/>
  <c r="AT33" s="1"/>
  <c r="AQ33"/>
  <c r="AP33"/>
  <c r="AL33"/>
  <c r="AH33"/>
  <c r="AD33"/>
  <c r="Z33"/>
  <c r="V33"/>
  <c r="R33"/>
  <c r="N33"/>
  <c r="J33"/>
  <c r="F33"/>
  <c r="AX32"/>
  <c r="AT32"/>
  <c r="AP32"/>
  <c r="AL32"/>
  <c r="AH32"/>
  <c r="AD32"/>
  <c r="Z32"/>
  <c r="V32"/>
  <c r="R32"/>
  <c r="N32"/>
  <c r="J32"/>
  <c r="F32"/>
  <c r="AX31"/>
  <c r="AS31"/>
  <c r="AR31"/>
  <c r="AQ31"/>
  <c r="AP31"/>
  <c r="AL31"/>
  <c r="AH31"/>
  <c r="AD31"/>
  <c r="Z31"/>
  <c r="V31"/>
  <c r="R31"/>
  <c r="N31"/>
  <c r="J31"/>
  <c r="F31"/>
  <c r="AX30"/>
  <c r="AS30"/>
  <c r="AR30"/>
  <c r="AT30" s="1"/>
  <c r="AQ30"/>
  <c r="AP30"/>
  <c r="AL30"/>
  <c r="AH30"/>
  <c r="AD30"/>
  <c r="Z30"/>
  <c r="V30"/>
  <c r="R30"/>
  <c r="N30"/>
  <c r="J30"/>
  <c r="F30"/>
  <c r="AX29"/>
  <c r="AS29"/>
  <c r="AQ29"/>
  <c r="AP29"/>
  <c r="AL29"/>
  <c r="AH29"/>
  <c r="AD29"/>
  <c r="Z29"/>
  <c r="V29"/>
  <c r="R29"/>
  <c r="N29"/>
  <c r="J29"/>
  <c r="F29"/>
  <c r="AX28"/>
  <c r="AT28"/>
  <c r="AP28"/>
  <c r="AL28"/>
  <c r="AH28"/>
  <c r="AD28"/>
  <c r="Z28"/>
  <c r="V28"/>
  <c r="R28"/>
  <c r="N28"/>
  <c r="J28"/>
  <c r="F28"/>
  <c r="AX27"/>
  <c r="AS27"/>
  <c r="AR27"/>
  <c r="AQ27"/>
  <c r="AP27"/>
  <c r="AL27"/>
  <c r="AH27"/>
  <c r="AD27"/>
  <c r="Z27"/>
  <c r="V27"/>
  <c r="R27"/>
  <c r="N27"/>
  <c r="J27"/>
  <c r="F27"/>
  <c r="AX26"/>
  <c r="AS26"/>
  <c r="AR26"/>
  <c r="AT26" s="1"/>
  <c r="AP26"/>
  <c r="AL26"/>
  <c r="AH26"/>
  <c r="AD26"/>
  <c r="Z26"/>
  <c r="V26"/>
  <c r="R26"/>
  <c r="N26"/>
  <c r="J26"/>
  <c r="F26"/>
  <c r="AX25"/>
  <c r="AS25"/>
  <c r="AT25" s="1"/>
  <c r="AQ25"/>
  <c r="AP25"/>
  <c r="AL25"/>
  <c r="AH25"/>
  <c r="AD25"/>
  <c r="Z25"/>
  <c r="V25"/>
  <c r="R25"/>
  <c r="N25"/>
  <c r="J25"/>
  <c r="F25"/>
  <c r="AX24"/>
  <c r="AT24"/>
  <c r="AQ24"/>
  <c r="AP24"/>
  <c r="AL24"/>
  <c r="AH24"/>
  <c r="AD24"/>
  <c r="Z24"/>
  <c r="V24"/>
  <c r="R24"/>
  <c r="N24"/>
  <c r="J24"/>
  <c r="AY24" s="1"/>
  <c r="F24"/>
  <c r="AX23"/>
  <c r="AS23"/>
  <c r="AR23"/>
  <c r="AQ23"/>
  <c r="AP23"/>
  <c r="AL23"/>
  <c r="AH23"/>
  <c r="AD23"/>
  <c r="Z23"/>
  <c r="V23"/>
  <c r="R23"/>
  <c r="N23"/>
  <c r="J23"/>
  <c r="F23"/>
  <c r="AX22"/>
  <c r="AS22"/>
  <c r="AR22"/>
  <c r="AT22" s="1"/>
  <c r="AQ22"/>
  <c r="AP22"/>
  <c r="AL22"/>
  <c r="AH22"/>
  <c r="AD22"/>
  <c r="Z22"/>
  <c r="V22"/>
  <c r="R22"/>
  <c r="N22"/>
  <c r="J22"/>
  <c r="F22"/>
  <c r="AX21"/>
  <c r="AS21"/>
  <c r="AQ21"/>
  <c r="AP21"/>
  <c r="AL21"/>
  <c r="AH21"/>
  <c r="AD21"/>
  <c r="Z21"/>
  <c r="V21"/>
  <c r="R21"/>
  <c r="N21"/>
  <c r="J21"/>
  <c r="F21"/>
  <c r="AX20"/>
  <c r="AS20"/>
  <c r="AR20"/>
  <c r="AQ20"/>
  <c r="AT20" s="1"/>
  <c r="AP20"/>
  <c r="AL20"/>
  <c r="AH20"/>
  <c r="AD20"/>
  <c r="Z20"/>
  <c r="V20"/>
  <c r="R20"/>
  <c r="N20"/>
  <c r="J20"/>
  <c r="F20"/>
  <c r="AX19"/>
  <c r="AS19"/>
  <c r="AR19"/>
  <c r="AQ19"/>
  <c r="AP19"/>
  <c r="AL19"/>
  <c r="AH19"/>
  <c r="AD19"/>
  <c r="Z19"/>
  <c r="V19"/>
  <c r="R19"/>
  <c r="N19"/>
  <c r="J19"/>
  <c r="F19"/>
  <c r="AX18"/>
  <c r="AT18"/>
  <c r="AS18"/>
  <c r="AQ18"/>
  <c r="AP18"/>
  <c r="AL18"/>
  <c r="AH18"/>
  <c r="AD18"/>
  <c r="Z18"/>
  <c r="V18"/>
  <c r="R18"/>
  <c r="N18"/>
  <c r="J18"/>
  <c r="F18"/>
  <c r="AY18" s="1"/>
  <c r="AX17"/>
  <c r="AT17"/>
  <c r="AP17"/>
  <c r="AL17"/>
  <c r="AH17"/>
  <c r="AD17"/>
  <c r="Z17"/>
  <c r="V17"/>
  <c r="R17"/>
  <c r="N17"/>
  <c r="J17"/>
  <c r="F17"/>
  <c r="AX16"/>
  <c r="AS16"/>
  <c r="AS94" s="1"/>
  <c r="AR16"/>
  <c r="AQ16"/>
  <c r="AP16"/>
  <c r="AL16"/>
  <c r="AH16"/>
  <c r="AD16"/>
  <c r="Z16"/>
  <c r="V16"/>
  <c r="R16"/>
  <c r="N16"/>
  <c r="J16"/>
  <c r="F16"/>
  <c r="AX15"/>
  <c r="AT15"/>
  <c r="AP15"/>
  <c r="AL15"/>
  <c r="AH15"/>
  <c r="AD15"/>
  <c r="Z15"/>
  <c r="V15"/>
  <c r="R15"/>
  <c r="N15"/>
  <c r="J15"/>
  <c r="F15"/>
  <c r="AX14"/>
  <c r="AT14"/>
  <c r="AP14"/>
  <c r="AL14"/>
  <c r="AH14"/>
  <c r="AD14"/>
  <c r="Z14"/>
  <c r="V14"/>
  <c r="R14"/>
  <c r="N14"/>
  <c r="J14"/>
  <c r="F14"/>
  <c r="AX13"/>
  <c r="AT13"/>
  <c r="AP13"/>
  <c r="AL13"/>
  <c r="AH13"/>
  <c r="AD13"/>
  <c r="Z13"/>
  <c r="V13"/>
  <c r="R13"/>
  <c r="N13"/>
  <c r="J13"/>
  <c r="F13"/>
  <c r="AY13" s="1"/>
  <c r="AX12"/>
  <c r="AT12"/>
  <c r="AP12"/>
  <c r="AL12"/>
  <c r="AH12"/>
  <c r="AD12"/>
  <c r="Z12"/>
  <c r="V12"/>
  <c r="R12"/>
  <c r="N12"/>
  <c r="J12"/>
  <c r="F12"/>
  <c r="AX11"/>
  <c r="AT11"/>
  <c r="AP11"/>
  <c r="AL11"/>
  <c r="AH11"/>
  <c r="AD11"/>
  <c r="Z11"/>
  <c r="V11"/>
  <c r="R11"/>
  <c r="N11"/>
  <c r="J11"/>
  <c r="F11"/>
  <c r="AX10"/>
  <c r="AT10"/>
  <c r="AP10"/>
  <c r="AL10"/>
  <c r="AH10"/>
  <c r="AD10"/>
  <c r="Z10"/>
  <c r="V10"/>
  <c r="R10"/>
  <c r="N10"/>
  <c r="J10"/>
  <c r="F10"/>
  <c r="AY10" s="1"/>
  <c r="AX9"/>
  <c r="AT9"/>
  <c r="AP9"/>
  <c r="AL9"/>
  <c r="AH9"/>
  <c r="AD9"/>
  <c r="Z9"/>
  <c r="V9"/>
  <c r="R9"/>
  <c r="N9"/>
  <c r="J9"/>
  <c r="F9"/>
  <c r="AX8"/>
  <c r="AT8"/>
  <c r="AP8"/>
  <c r="AL8"/>
  <c r="AH8"/>
  <c r="AD8"/>
  <c r="Z8"/>
  <c r="V8"/>
  <c r="R8"/>
  <c r="N8"/>
  <c r="J8"/>
  <c r="F8"/>
  <c r="AX7"/>
  <c r="AT7"/>
  <c r="AP7"/>
  <c r="AL7"/>
  <c r="AH7"/>
  <c r="AD7"/>
  <c r="Z7"/>
  <c r="V7"/>
  <c r="R7"/>
  <c r="N7"/>
  <c r="J7"/>
  <c r="F7"/>
  <c r="AY7" s="1"/>
  <c r="AX6"/>
  <c r="AT6"/>
  <c r="AP6"/>
  <c r="AL6"/>
  <c r="AH6"/>
  <c r="AD6"/>
  <c r="Z6"/>
  <c r="V6"/>
  <c r="R6"/>
  <c r="N6"/>
  <c r="J6"/>
  <c r="F6"/>
  <c r="AX5"/>
  <c r="AT5"/>
  <c r="AP5"/>
  <c r="AL5"/>
  <c r="AH5"/>
  <c r="AD5"/>
  <c r="Z5"/>
  <c r="V5"/>
  <c r="R5"/>
  <c r="N5"/>
  <c r="J5"/>
  <c r="F5"/>
  <c r="AX4"/>
  <c r="AT4"/>
  <c r="AP4"/>
  <c r="AL4"/>
  <c r="AH4"/>
  <c r="AD4"/>
  <c r="Z4"/>
  <c r="V4"/>
  <c r="R4"/>
  <c r="N4"/>
  <c r="J4"/>
  <c r="F4"/>
  <c r="AX3"/>
  <c r="AT3"/>
  <c r="AP3"/>
  <c r="AP94" s="1"/>
  <c r="AL3"/>
  <c r="AH3"/>
  <c r="AD3"/>
  <c r="Z3"/>
  <c r="V3"/>
  <c r="R3"/>
  <c r="N3"/>
  <c r="J3"/>
  <c r="J94" s="1"/>
  <c r="F3"/>
  <c r="AT35" l="1"/>
  <c r="AY38"/>
  <c r="AT38"/>
  <c r="AY43"/>
  <c r="AY54"/>
  <c r="AY67"/>
  <c r="AY71"/>
  <c r="AY75"/>
  <c r="AY3"/>
  <c r="V94"/>
  <c r="AL94"/>
  <c r="AY9"/>
  <c r="AY12"/>
  <c r="AY17"/>
  <c r="AT21"/>
  <c r="AY21" s="1"/>
  <c r="AY25"/>
  <c r="AT27"/>
  <c r="AY28"/>
  <c r="AT29"/>
  <c r="AT39"/>
  <c r="AY39" s="1"/>
  <c r="AY46"/>
  <c r="AT48"/>
  <c r="AY51"/>
  <c r="AY55"/>
  <c r="AY58"/>
  <c r="AT58"/>
  <c r="AY69"/>
  <c r="AY72"/>
  <c r="AY74"/>
  <c r="AY77"/>
  <c r="AY80"/>
  <c r="AY84"/>
  <c r="AY87"/>
  <c r="AY90"/>
  <c r="AY93"/>
  <c r="R94"/>
  <c r="AH94"/>
  <c r="AY5"/>
  <c r="AY8"/>
  <c r="AY15"/>
  <c r="AQ94"/>
  <c r="AY42"/>
  <c r="AY48"/>
  <c r="AY53"/>
  <c r="AY59"/>
  <c r="AY82"/>
  <c r="AY83"/>
  <c r="AY86"/>
  <c r="N94"/>
  <c r="AD94"/>
  <c r="AY4"/>
  <c r="AY11"/>
  <c r="AT19"/>
  <c r="AT23"/>
  <c r="AT31"/>
  <c r="AY31" s="1"/>
  <c r="AY32"/>
  <c r="AY33"/>
  <c r="AT34"/>
  <c r="AY36"/>
  <c r="AT37"/>
  <c r="AY37" s="1"/>
  <c r="AY41"/>
  <c r="AT44"/>
  <c r="AY45"/>
  <c r="AY60"/>
  <c r="AY61"/>
  <c r="AY64"/>
  <c r="AY81"/>
  <c r="AY89"/>
  <c r="AY92"/>
  <c r="Z94"/>
  <c r="AY62"/>
  <c r="AY19"/>
  <c r="AY57"/>
  <c r="AY76"/>
  <c r="AY20"/>
  <c r="AY6"/>
  <c r="AY14"/>
  <c r="AY22"/>
  <c r="AY23"/>
  <c r="AY26"/>
  <c r="AY29"/>
  <c r="AY34"/>
  <c r="AY35"/>
  <c r="AY44"/>
  <c r="AY50"/>
  <c r="AY56"/>
  <c r="AY88"/>
  <c r="AR94"/>
  <c r="AT16"/>
  <c r="F94"/>
  <c r="AY27"/>
  <c r="AY30"/>
  <c r="AY47"/>
  <c r="AY52"/>
  <c r="AY63"/>
  <c r="AY65"/>
  <c r="AY66"/>
  <c r="AY70"/>
  <c r="AY79"/>
  <c r="AT94" l="1"/>
  <c r="AY16"/>
  <c r="AY94" l="1"/>
</calcChain>
</file>

<file path=xl/sharedStrings.xml><?xml version="1.0" encoding="utf-8"?>
<sst xmlns="http://schemas.openxmlformats.org/spreadsheetml/2006/main" count="244" uniqueCount="207">
  <si>
    <t>ian</t>
  </si>
  <si>
    <t>feb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</si>
  <si>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</si>
  <si>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</si>
  <si>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</si>
  <si>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</si>
  <si>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</si>
  <si>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</si>
  <si>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</si>
  <si>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</si>
  <si>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</si>
  <si>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</si>
  <si>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</si>
  <si>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Denumire</t>
  </si>
  <si>
    <t>drg</t>
  </si>
  <si>
    <t>cr</t>
  </si>
  <si>
    <t>ssz</t>
  </si>
  <si>
    <t>DRG APRILIE</t>
  </si>
  <si>
    <t>CR APRILIE</t>
  </si>
  <si>
    <t>SSZ APRILIE</t>
  </si>
  <si>
    <t>DRG</t>
  </si>
  <si>
    <t>CR</t>
  </si>
  <si>
    <t>SSZ</t>
  </si>
  <si>
    <t>TOTAL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</si>
  <si>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</si>
  <si>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</si>
  <si>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</si>
  <si>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</si>
  <si>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</si>
  <si>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</si>
  <si>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</si>
  <si>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</si>
  <si>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</si>
  <si>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</si>
  <si>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</si>
  <si>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</si>
  <si>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</si>
  <si>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</si>
  <si>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</si>
  <si>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</si>
  <si>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</si>
  <si>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</si>
  <si>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</si>
  <si>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</si>
  <si>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</si>
  <si>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</si>
  <si>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</si>
  <si>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</si>
  <si>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</si>
  <si>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</si>
  <si>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</si>
  <si>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</si>
  <si>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</si>
  <si>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</si>
  <si>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</si>
  <si>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</si>
  <si>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</si>
  <si>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</si>
  <si>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</si>
  <si>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</si>
  <si>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</si>
  <si>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</si>
  <si>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</si>
  <si>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</si>
  <si>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</si>
  <si>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</si>
  <si>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</si>
  <si>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</si>
  <si>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</si>
  <si>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</si>
  <si>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</si>
  <si>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</si>
  <si>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</si>
  <si>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</si>
  <si>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</si>
  <si>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</si>
  <si>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</si>
  <si>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</si>
  <si>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</si>
  <si>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</si>
  <si>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</si>
  <si>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</si>
  <si>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</si>
  <si>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</si>
  <si>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</si>
  <si>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</si>
  <si>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</si>
  <si>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</si>
  <si>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</si>
  <si>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</si>
  <si>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</si>
  <si>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</si>
  <si>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</si>
  <si>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</si>
  <si>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</si>
  <si>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</si>
  <si>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</si>
  <si>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</si>
  <si>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</si>
  <si>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</si>
  <si>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</si>
  <si>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</si>
  <si>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</si>
  <si>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</si>
  <si>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</si>
  <si>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</si>
  <si>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</si>
  <si>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</si>
  <si>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</si>
  <si>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</si>
  <si>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</si>
  <si>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</si>
  <si>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</si>
  <si>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</si>
  <si>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</si>
  <si>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</si>
  <si>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</si>
  <si>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</si>
  <si>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</si>
  <si>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</si>
  <si>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</si>
  <si>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</si>
  <si>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</si>
  <si>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</si>
  <si>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</si>
  <si>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</si>
  <si>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</si>
  <si>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</si>
  <si>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</si>
  <si>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</si>
  <si>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</si>
  <si>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</si>
  <si>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</si>
  <si>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</si>
  <si>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</si>
  <si>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</si>
  <si>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</si>
  <si>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</si>
  <si>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</si>
  <si>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</si>
  <si>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</si>
  <si>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</si>
  <si>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</si>
  <si>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</si>
  <si>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</si>
  <si>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</si>
  <si>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</si>
  <si>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</si>
  <si>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</si>
  <si>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</si>
  <si>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</si>
  <si>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</si>
  <si>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</si>
  <si>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</si>
  <si>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</si>
  <si>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</si>
  <si>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</si>
  <si>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</si>
  <si>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</si>
  <si>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</si>
  <si>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</si>
  <si>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</si>
  <si>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</si>
  <si>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</si>
  <si>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</si>
  <si>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</si>
  <si>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</si>
  <si>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</si>
  <si>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</si>
  <si>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</si>
  <si>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</si>
  <si>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</si>
  <si>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</si>
  <si>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</si>
  <si>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</si>
  <si>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</si>
  <si>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</si>
  <si>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</si>
  <si>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</si>
  <si>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</si>
  <si>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</si>
  <si>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</si>
  <si>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</si>
  <si>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</si>
  <si>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</si>
  <si>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</si>
  <si>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</si>
  <si>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</si>
  <si>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</si>
  <si>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</si>
  <si>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</si>
  <si>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</si>
  <si>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</si>
  <si>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</si>
  <si>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</si>
  <si>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</si>
  <si>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</si>
  <si>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</si>
  <si>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B_156</t>
  </si>
  <si>
    <t>LOTUS MED</t>
  </si>
  <si>
    <t>B_154</t>
  </si>
  <si>
    <t>BIOMEDICA</t>
  </si>
  <si>
    <t>B_155</t>
  </si>
  <si>
    <t>GENESYS</t>
  </si>
  <si>
    <t>B_157</t>
  </si>
  <si>
    <t>RIA CLINIC</t>
  </si>
  <si>
    <t>total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</si>
</sst>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43" fontId="0" fillId="0" borderId="1" xfId="1" applyFont="1" applyFill="1" applyBorder="1" applyAlignment="1">
      <alignment horizontal="center" wrapText="1"/>
    </xf>
    <xf numFmtId="43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Fill="1" applyBorder="1"/>
    <xf numFmtId="43" fontId="5" fillId="0" borderId="1" xfId="0" applyNumberFormat="1" applyFont="1" applyFill="1" applyBorder="1"/>
    <xf numFmtId="9" fontId="3" fillId="0" borderId="1" xfId="0" applyNumberFormat="1" applyFont="1" applyFill="1" applyBorder="1"/>
    <xf numFmtId="0" fontId="4" fillId="0" borderId="1" xfId="0" applyFont="1" applyFill="1" applyBorder="1"/>
    <xf numFmtId="0" fontId="3" fillId="0" borderId="0" xfId="0" applyFont="1" applyFill="1"/>
    <xf numFmtId="43" fontId="0" fillId="0" borderId="1" xfId="1" applyFont="1" applyFill="1" applyBorder="1"/>
    <xf numFmtId="43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43" fontId="2" fillId="0" borderId="1" xfId="0" applyNumberFormat="1" applyFont="1" applyFill="1" applyBorder="1"/>
    <xf numFmtId="43" fontId="0" fillId="0" borderId="1" xfId="0" applyNumberFormat="1" applyFont="1" applyFill="1" applyBorder="1"/>
    <xf numFmtId="43" fontId="0" fillId="0" borderId="0" xfId="1" applyFont="1" applyFill="1"/>
    <xf numFmtId="43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workbookViewId="0">
      <selection activeCell="AX13" sqref="AX13"/>
    </sheetView>
  </sheetViews>
  <sheetFormatPr defaultRowHeight="15"/>
  <cols>
    <col min="1" max="1" width="9.140625" style="10"/>
    <col min="2" max="2" width="72.85546875" style="10" customWidth="1"/>
    <col min="3" max="3" width="17.140625" style="17" customWidth="1"/>
    <col min="4" max="5" width="15.5703125" style="17" customWidth="1"/>
    <col min="6" max="6" width="15.28515625" style="17" bestFit="1" customWidth="1"/>
    <col min="7" max="7" width="15.85546875" style="17" customWidth="1"/>
    <col min="8" max="8" width="15.28515625" style="17" customWidth="1"/>
    <col min="9" max="9" width="16.28515625" style="17" customWidth="1"/>
    <col min="10" max="10" width="15.85546875" style="17" customWidth="1"/>
    <col min="11" max="11" width="19.5703125" style="17" customWidth="1"/>
    <col min="12" max="13" width="14.7109375" style="17" customWidth="1"/>
    <col min="14" max="14" width="16.7109375" style="17" customWidth="1"/>
    <col min="15" max="15" width="15.85546875" style="17" customWidth="1"/>
    <col min="16" max="16" width="16.85546875" style="17" customWidth="1"/>
    <col min="17" max="18" width="15" style="17" customWidth="1"/>
    <col min="19" max="19" width="15.42578125" style="14" customWidth="1"/>
    <col min="20" max="21" width="14.42578125" style="14" customWidth="1"/>
    <col min="22" max="22" width="15.5703125" style="14" customWidth="1"/>
    <col min="23" max="23" width="15.85546875" style="14" customWidth="1"/>
    <col min="24" max="25" width="14.28515625" style="14" customWidth="1"/>
    <col min="26" max="26" width="15.42578125" style="14" customWidth="1"/>
    <col min="27" max="27" width="16.42578125" style="14" customWidth="1"/>
    <col min="28" max="29" width="14.85546875" style="14" customWidth="1"/>
    <col min="30" max="30" width="15.7109375" style="14" customWidth="1"/>
    <col min="31" max="31" width="15.140625" style="14" customWidth="1"/>
    <col min="32" max="33" width="14" style="14" customWidth="1"/>
    <col min="34" max="34" width="15.28515625" style="14" customWidth="1"/>
    <col min="35" max="37" width="15.5703125" style="14" customWidth="1"/>
    <col min="38" max="38" width="15" style="14" customWidth="1"/>
    <col min="39" max="39" width="15.7109375" style="14" customWidth="1"/>
    <col min="40" max="40" width="15.140625" style="14" customWidth="1"/>
    <col min="41" max="41" width="13.85546875" style="14" customWidth="1"/>
    <col min="42" max="42" width="15.28515625" style="14" customWidth="1"/>
    <col min="43" max="43" width="16.140625" style="14" customWidth="1"/>
    <col min="44" max="44" width="13.140625" style="14" customWidth="1"/>
    <col min="45" max="45" width="14.7109375" style="14" customWidth="1"/>
    <col min="46" max="46" width="18" style="14" customWidth="1"/>
    <col min="47" max="47" width="12" style="17" customWidth="1"/>
    <col min="48" max="48" width="10.5703125" style="17" customWidth="1"/>
    <col min="49" max="49" width="11.140625" style="17" customWidth="1"/>
    <col min="50" max="50" width="17.7109375" style="17" customWidth="1"/>
    <col min="51" max="51" width="18" style="17" customWidth="1"/>
    <col min="52" max="16384" width="9.140625" style="14"/>
  </cols>
  <sheetData>
    <row r="1" spans="1:51">
      <c r="A1" s="1"/>
      <c r="B1" s="1"/>
      <c r="C1" s="12" t="s">
        <v>0</v>
      </c>
      <c r="D1" s="12"/>
      <c r="E1" s="12"/>
      <c r="F1" s="12"/>
      <c r="G1" s="12" t="s">
        <v>1</v>
      </c>
      <c r="H1" s="12"/>
      <c r="I1" s="12"/>
      <c r="J1" s="12"/>
      <c r="K1" s="12" t="s">
        <v>2</v>
      </c>
      <c r="L1" s="12"/>
      <c r="M1" s="12"/>
      <c r="N1" s="12"/>
      <c r="O1" s="12" t="s">
        <v>3</v>
      </c>
      <c r="P1" s="12"/>
      <c r="Q1" s="12"/>
      <c r="R1" s="12"/>
      <c r="S1" s="13" t="s">
        <v>4</v>
      </c>
      <c r="T1" s="13"/>
      <c r="U1" s="13"/>
      <c r="V1" s="13"/>
      <c r="W1" s="13" t="s">
        <v>5</v>
      </c>
      <c r="X1" s="13"/>
      <c r="Y1" s="13"/>
      <c r="Z1" s="13"/>
      <c r="AA1" s="13" t="s">
        <v>6</v>
      </c>
      <c r="AB1" s="13"/>
      <c r="AC1" s="13"/>
      <c r="AD1" s="13"/>
      <c r="AE1" s="13" t="s">
        <v>7</v>
      </c>
      <c r="AF1" s="13"/>
      <c r="AG1" s="13"/>
      <c r="AH1" s="13"/>
      <c r="AI1" s="13" t="s">
        <v>8</v>
      </c>
      <c r="AJ1" s="13"/>
      <c r="AK1" s="13"/>
      <c r="AL1" s="13"/>
      <c r="AM1" s="13" t="s">
        <v>9</v>
      </c>
      <c r="AN1" s="13"/>
      <c r="AO1" s="13"/>
      <c r="AP1" s="13"/>
      <c r="AQ1" s="13" t="s">
        <v>10</v>
      </c>
      <c r="AR1" s="13"/>
      <c r="AS1" s="13"/>
      <c r="AT1" s="13"/>
      <c r="AU1" s="12" t="s">
        <v>11</v>
      </c>
      <c r="AV1" s="12"/>
      <c r="AW1" s="12"/>
      <c r="AX1" s="12"/>
      <c r="AY1" s="12" t="s">
        <v>206</v>
      </c>
    </row>
    <row r="2" spans="1:51">
      <c r="A2" s="2"/>
      <c r="B2" s="2" t="s">
        <v>13</v>
      </c>
      <c r="C2" s="11" t="s">
        <v>14</v>
      </c>
      <c r="D2" s="11" t="s">
        <v>15</v>
      </c>
      <c r="E2" s="11" t="s">
        <v>16</v>
      </c>
      <c r="F2" s="11" t="s">
        <v>12</v>
      </c>
      <c r="G2" s="11" t="s">
        <v>14</v>
      </c>
      <c r="H2" s="11" t="s">
        <v>15</v>
      </c>
      <c r="I2" s="11" t="s">
        <v>16</v>
      </c>
      <c r="J2" s="11" t="s">
        <v>12</v>
      </c>
      <c r="K2" s="11" t="s">
        <v>14</v>
      </c>
      <c r="L2" s="11" t="s">
        <v>15</v>
      </c>
      <c r="M2" s="11" t="s">
        <v>16</v>
      </c>
      <c r="N2" s="11" t="s">
        <v>12</v>
      </c>
      <c r="O2" s="3" t="s">
        <v>17</v>
      </c>
      <c r="P2" s="3" t="s">
        <v>18</v>
      </c>
      <c r="Q2" s="3" t="s">
        <v>19</v>
      </c>
      <c r="R2" s="3" t="s">
        <v>12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20</v>
      </c>
      <c r="AB2" s="6" t="s">
        <v>21</v>
      </c>
      <c r="AC2" s="6" t="s">
        <v>22</v>
      </c>
      <c r="AD2" s="6" t="s">
        <v>23</v>
      </c>
      <c r="AE2" s="6" t="s">
        <v>20</v>
      </c>
      <c r="AF2" s="6" t="s">
        <v>21</v>
      </c>
      <c r="AG2" s="6" t="s">
        <v>22</v>
      </c>
      <c r="AH2" s="6" t="s">
        <v>23</v>
      </c>
      <c r="AI2" s="6" t="s">
        <v>20</v>
      </c>
      <c r="AJ2" s="6" t="s">
        <v>21</v>
      </c>
      <c r="AK2" s="6" t="s">
        <v>22</v>
      </c>
      <c r="AL2" s="6" t="s">
        <v>23</v>
      </c>
      <c r="AM2" s="6" t="s">
        <v>20</v>
      </c>
      <c r="AN2" s="6" t="s">
        <v>21</v>
      </c>
      <c r="AO2" s="6" t="s">
        <v>22</v>
      </c>
      <c r="AP2" s="6" t="s">
        <v>23</v>
      </c>
      <c r="AQ2" s="6" t="s">
        <v>20</v>
      </c>
      <c r="AR2" s="6" t="s">
        <v>21</v>
      </c>
      <c r="AS2" s="6" t="s">
        <v>22</v>
      </c>
      <c r="AT2" s="6" t="s">
        <v>23</v>
      </c>
      <c r="AU2" s="11" t="s">
        <v>20</v>
      </c>
      <c r="AV2" s="11" t="s">
        <v>21</v>
      </c>
      <c r="AW2" s="11" t="s">
        <v>22</v>
      </c>
      <c r="AX2" s="11" t="s">
        <v>23</v>
      </c>
      <c r="AY2" s="12"/>
    </row>
    <row r="3" spans="1:51">
      <c r="A3" s="1" t="s">
        <v>24</v>
      </c>
      <c r="B3" s="1" t="s">
        <v>25</v>
      </c>
      <c r="C3" s="11">
        <v>2692197.34</v>
      </c>
      <c r="D3" s="11">
        <v>0</v>
      </c>
      <c r="E3" s="11">
        <v>167215.9</v>
      </c>
      <c r="F3" s="11">
        <f>+E3+D3+C3</f>
        <v>2859413.2399999998</v>
      </c>
      <c r="G3" s="11">
        <v>2692197.34</v>
      </c>
      <c r="H3" s="11">
        <v>0</v>
      </c>
      <c r="I3" s="11">
        <v>167215.9</v>
      </c>
      <c r="J3" s="11">
        <f>+I3+H3+G3</f>
        <v>2859413.2399999998</v>
      </c>
      <c r="K3" s="11">
        <v>2692197.34</v>
      </c>
      <c r="L3" s="11">
        <v>0</v>
      </c>
      <c r="M3" s="11">
        <v>167215.9</v>
      </c>
      <c r="N3" s="11">
        <f>+M3+L3+K3</f>
        <v>2859413.2399999998</v>
      </c>
      <c r="O3" s="11">
        <v>2730401.31</v>
      </c>
      <c r="P3" s="11">
        <v>0</v>
      </c>
      <c r="Q3" s="11">
        <v>161021.76999999999</v>
      </c>
      <c r="R3" s="11">
        <f>+Q3+P3+O3</f>
        <v>2891423.08</v>
      </c>
      <c r="S3" s="11">
        <v>2834592.44</v>
      </c>
      <c r="T3" s="11">
        <v>0</v>
      </c>
      <c r="U3" s="11">
        <v>167166.29999999999</v>
      </c>
      <c r="V3" s="4">
        <f>+U3+T3+S3</f>
        <v>3001758.7399999998</v>
      </c>
      <c r="W3" s="11">
        <v>2834592.44</v>
      </c>
      <c r="X3" s="11">
        <v>0</v>
      </c>
      <c r="Y3" s="11">
        <v>167166.29999999999</v>
      </c>
      <c r="Z3" s="4">
        <f>+Y3+X3+W3</f>
        <v>3001758.7399999998</v>
      </c>
      <c r="AA3" s="11">
        <v>2834592.44</v>
      </c>
      <c r="AB3" s="11">
        <v>0</v>
      </c>
      <c r="AC3" s="11">
        <v>167166.29999999999</v>
      </c>
      <c r="AD3" s="4">
        <f>+AC3+AB3+AA3</f>
        <v>3001758.7399999998</v>
      </c>
      <c r="AE3" s="11">
        <v>2834592.44</v>
      </c>
      <c r="AF3" s="11">
        <v>0</v>
      </c>
      <c r="AG3" s="11">
        <v>167166.29999999999</v>
      </c>
      <c r="AH3" s="4">
        <f>+AG3+AF3+AE3</f>
        <v>3001758.7399999998</v>
      </c>
      <c r="AI3" s="11">
        <v>2834592.44</v>
      </c>
      <c r="AJ3" s="11">
        <v>0</v>
      </c>
      <c r="AK3" s="11">
        <v>167166.29999999999</v>
      </c>
      <c r="AL3" s="4">
        <f>+AK3+AJ3+AI3</f>
        <v>3001758.7399999998</v>
      </c>
      <c r="AM3" s="11">
        <v>2834592.44</v>
      </c>
      <c r="AN3" s="11">
        <v>0</v>
      </c>
      <c r="AO3" s="11">
        <v>167166.29999999999</v>
      </c>
      <c r="AP3" s="4">
        <f>+AO3+AN3+AM3</f>
        <v>3001758.7399999998</v>
      </c>
      <c r="AQ3" s="4">
        <v>91647.09</v>
      </c>
      <c r="AR3" s="4">
        <v>0</v>
      </c>
      <c r="AS3" s="4">
        <v>5310.67</v>
      </c>
      <c r="AT3" s="4">
        <f>+AS3+AR3+AQ3</f>
        <v>96957.759999999995</v>
      </c>
      <c r="AU3" s="11">
        <v>100</v>
      </c>
      <c r="AV3" s="11">
        <v>0</v>
      </c>
      <c r="AW3" s="11">
        <v>100</v>
      </c>
      <c r="AX3" s="11">
        <f>SUM(AU3:AW3)</f>
        <v>200</v>
      </c>
      <c r="AY3" s="11">
        <f>+F3+J3+N3+R3+V3+Z3+AD3+AH3+AL3+AP3+AT3+AX3</f>
        <v>29577372.999999993</v>
      </c>
    </row>
    <row r="4" spans="1:51">
      <c r="A4" s="1" t="s">
        <v>26</v>
      </c>
      <c r="B4" s="1" t="s">
        <v>27</v>
      </c>
      <c r="C4" s="11">
        <v>2859608.36</v>
      </c>
      <c r="D4" s="11">
        <v>0</v>
      </c>
      <c r="E4" s="11">
        <v>173992.6</v>
      </c>
      <c r="F4" s="11">
        <f t="shared" ref="F4:F67" si="0">+E4+D4+C4</f>
        <v>3033600.96</v>
      </c>
      <c r="G4" s="11">
        <v>3400706.4299999997</v>
      </c>
      <c r="H4" s="11">
        <v>0</v>
      </c>
      <c r="I4" s="11">
        <v>173992.6</v>
      </c>
      <c r="J4" s="11">
        <f t="shared" ref="J4:J67" si="1">+I4+H4+G4</f>
        <v>3574699.03</v>
      </c>
      <c r="K4" s="11">
        <v>3400706.4299999997</v>
      </c>
      <c r="L4" s="11">
        <v>0</v>
      </c>
      <c r="M4" s="11">
        <v>173992.6</v>
      </c>
      <c r="N4" s="11">
        <f t="shared" ref="N4:N67" si="2">+M4+L4+K4</f>
        <v>3574699.03</v>
      </c>
      <c r="O4" s="11">
        <v>3323538.87</v>
      </c>
      <c r="P4" s="11">
        <v>0</v>
      </c>
      <c r="Q4" s="11">
        <v>166813.44</v>
      </c>
      <c r="R4" s="11">
        <f t="shared" ref="R4:R67" si="3">+Q4+P4+O4</f>
        <v>3490352.31</v>
      </c>
      <c r="S4" s="11">
        <v>4018963.21</v>
      </c>
      <c r="T4" s="11">
        <v>0</v>
      </c>
      <c r="U4" s="11">
        <v>303063.21999999997</v>
      </c>
      <c r="V4" s="4">
        <f t="shared" ref="V4:V67" si="4">+U4+T4+S4</f>
        <v>4322026.43</v>
      </c>
      <c r="W4" s="11">
        <v>4018963.21</v>
      </c>
      <c r="X4" s="11">
        <v>0</v>
      </c>
      <c r="Y4" s="11">
        <v>303063.21999999997</v>
      </c>
      <c r="Z4" s="4">
        <f t="shared" ref="Z4:Z67" si="5">+Y4+X4+W4</f>
        <v>4322026.43</v>
      </c>
      <c r="AA4" s="11">
        <v>4018963.21</v>
      </c>
      <c r="AB4" s="11">
        <v>0</v>
      </c>
      <c r="AC4" s="11">
        <v>303063.21999999997</v>
      </c>
      <c r="AD4" s="4">
        <f t="shared" ref="AD4:AD67" si="6">+AC4+AB4+AA4</f>
        <v>4322026.43</v>
      </c>
      <c r="AE4" s="11">
        <v>4018963.21</v>
      </c>
      <c r="AF4" s="11">
        <v>0</v>
      </c>
      <c r="AG4" s="11">
        <v>303063.21999999997</v>
      </c>
      <c r="AH4" s="4">
        <f t="shared" ref="AH4:AH67" si="7">+AG4+AF4+AE4</f>
        <v>4322026.43</v>
      </c>
      <c r="AI4" s="11">
        <v>4018963.21</v>
      </c>
      <c r="AJ4" s="11">
        <v>0</v>
      </c>
      <c r="AK4" s="11">
        <v>303063.21999999997</v>
      </c>
      <c r="AL4" s="4">
        <f t="shared" ref="AL4:AL67" si="8">+AK4+AJ4+AI4</f>
        <v>4322026.43</v>
      </c>
      <c r="AM4" s="11">
        <v>3740909.21</v>
      </c>
      <c r="AN4" s="11">
        <v>0</v>
      </c>
      <c r="AO4" s="11">
        <v>303063.21999999997</v>
      </c>
      <c r="AP4" s="4">
        <f t="shared" ref="AP4:AP67" si="9">+AO4+AN4+AM4</f>
        <v>4043972.4299999997</v>
      </c>
      <c r="AQ4" s="4">
        <v>9900</v>
      </c>
      <c r="AR4" s="4">
        <v>0</v>
      </c>
      <c r="AS4" s="4">
        <v>63495.55</v>
      </c>
      <c r="AT4" s="4">
        <f t="shared" ref="AT4:AT67" si="10">+AS4+AR4+AQ4</f>
        <v>73395.55</v>
      </c>
      <c r="AU4" s="11">
        <v>100</v>
      </c>
      <c r="AV4" s="11">
        <v>0</v>
      </c>
      <c r="AW4" s="11">
        <v>100</v>
      </c>
      <c r="AX4" s="11">
        <f>SUM(AU4:AW4)</f>
        <v>200</v>
      </c>
      <c r="AY4" s="11">
        <f t="shared" ref="AY4:AY67" si="11">+F4+J4+N4+R4+V4+Z4+AD4+AH4+AL4+AP4+AT4+AX4</f>
        <v>39401051.459999993</v>
      </c>
    </row>
    <row r="5" spans="1:51">
      <c r="A5" s="1" t="s">
        <v>28</v>
      </c>
      <c r="B5" s="1" t="s">
        <v>29</v>
      </c>
      <c r="C5" s="11">
        <v>218613.9</v>
      </c>
      <c r="D5" s="11">
        <v>0</v>
      </c>
      <c r="E5" s="11">
        <v>0</v>
      </c>
      <c r="F5" s="11">
        <f t="shared" si="0"/>
        <v>218613.9</v>
      </c>
      <c r="G5" s="11">
        <v>218613.9</v>
      </c>
      <c r="H5" s="11">
        <v>0</v>
      </c>
      <c r="I5" s="11">
        <v>0</v>
      </c>
      <c r="J5" s="11">
        <f t="shared" si="1"/>
        <v>218613.9</v>
      </c>
      <c r="K5" s="11">
        <v>218613.9</v>
      </c>
      <c r="L5" s="11">
        <v>0</v>
      </c>
      <c r="M5" s="11">
        <v>0</v>
      </c>
      <c r="N5" s="11">
        <f t="shared" si="2"/>
        <v>218613.9</v>
      </c>
      <c r="O5" s="11">
        <v>145673.97</v>
      </c>
      <c r="P5" s="11">
        <v>0</v>
      </c>
      <c r="Q5" s="11">
        <v>0</v>
      </c>
      <c r="R5" s="11">
        <f t="shared" si="3"/>
        <v>145673.97</v>
      </c>
      <c r="S5" s="11">
        <v>151232.84</v>
      </c>
      <c r="T5" s="11">
        <v>0</v>
      </c>
      <c r="U5" s="11">
        <v>0</v>
      </c>
      <c r="V5" s="4">
        <f t="shared" si="4"/>
        <v>151232.84</v>
      </c>
      <c r="W5" s="11">
        <v>151232.84</v>
      </c>
      <c r="X5" s="11">
        <v>0</v>
      </c>
      <c r="Y5" s="11">
        <v>0</v>
      </c>
      <c r="Z5" s="4">
        <f t="shared" si="5"/>
        <v>151232.84</v>
      </c>
      <c r="AA5" s="11">
        <v>151232.84</v>
      </c>
      <c r="AB5" s="11">
        <v>0</v>
      </c>
      <c r="AC5" s="11">
        <v>0</v>
      </c>
      <c r="AD5" s="4">
        <f t="shared" si="6"/>
        <v>151232.84</v>
      </c>
      <c r="AE5" s="11">
        <v>151232.84</v>
      </c>
      <c r="AF5" s="11">
        <v>0</v>
      </c>
      <c r="AG5" s="11">
        <v>0</v>
      </c>
      <c r="AH5" s="4">
        <f t="shared" si="7"/>
        <v>151232.84</v>
      </c>
      <c r="AI5" s="11">
        <v>151232.84</v>
      </c>
      <c r="AJ5" s="11">
        <v>0</v>
      </c>
      <c r="AK5" s="11">
        <v>0</v>
      </c>
      <c r="AL5" s="4">
        <f t="shared" si="8"/>
        <v>151232.84</v>
      </c>
      <c r="AM5" s="11">
        <v>151232.84</v>
      </c>
      <c r="AN5" s="11">
        <v>0</v>
      </c>
      <c r="AO5" s="11">
        <v>0</v>
      </c>
      <c r="AP5" s="4">
        <f t="shared" si="9"/>
        <v>151232.84</v>
      </c>
      <c r="AQ5" s="4">
        <v>4794.92</v>
      </c>
      <c r="AR5" s="4">
        <v>0</v>
      </c>
      <c r="AS5" s="4">
        <v>0</v>
      </c>
      <c r="AT5" s="4">
        <f t="shared" si="10"/>
        <v>4794.92</v>
      </c>
      <c r="AU5" s="11">
        <v>100</v>
      </c>
      <c r="AV5" s="11"/>
      <c r="AW5" s="11"/>
      <c r="AX5" s="11">
        <f>SUM(AU5:AW5)</f>
        <v>100</v>
      </c>
      <c r="AY5" s="11">
        <f t="shared" si="11"/>
        <v>1713807.6300000001</v>
      </c>
    </row>
    <row r="6" spans="1:51">
      <c r="A6" s="1" t="s">
        <v>30</v>
      </c>
      <c r="B6" s="1" t="s">
        <v>31</v>
      </c>
      <c r="C6" s="11">
        <v>8827902.5971501283</v>
      </c>
      <c r="D6" s="11">
        <v>0</v>
      </c>
      <c r="E6" s="11">
        <v>44138.85</v>
      </c>
      <c r="F6" s="11">
        <f t="shared" si="0"/>
        <v>8872041.447150128</v>
      </c>
      <c r="G6" s="11">
        <v>8827902.5971501283</v>
      </c>
      <c r="H6" s="11">
        <v>0</v>
      </c>
      <c r="I6" s="11">
        <v>44138.85</v>
      </c>
      <c r="J6" s="11">
        <f t="shared" si="1"/>
        <v>8872041.447150128</v>
      </c>
      <c r="K6" s="11">
        <v>8827902.5971501283</v>
      </c>
      <c r="L6" s="11">
        <v>0</v>
      </c>
      <c r="M6" s="11">
        <v>44138.85</v>
      </c>
      <c r="N6" s="11">
        <f t="shared" si="2"/>
        <v>8872041.447150128</v>
      </c>
      <c r="O6" s="11">
        <v>7258758.8600000003</v>
      </c>
      <c r="P6" s="11">
        <v>0</v>
      </c>
      <c r="Q6" s="11">
        <v>42621.45</v>
      </c>
      <c r="R6" s="11">
        <f t="shared" si="3"/>
        <v>7301380.3100000005</v>
      </c>
      <c r="S6" s="11">
        <v>7535750.4800000004</v>
      </c>
      <c r="T6" s="11">
        <v>0</v>
      </c>
      <c r="U6" s="11">
        <v>44247.87</v>
      </c>
      <c r="V6" s="4">
        <f t="shared" si="4"/>
        <v>7579998.3500000006</v>
      </c>
      <c r="W6" s="11">
        <v>7535750.4800000004</v>
      </c>
      <c r="X6" s="11">
        <v>0</v>
      </c>
      <c r="Y6" s="11">
        <v>44247.87</v>
      </c>
      <c r="Z6" s="4">
        <f t="shared" si="5"/>
        <v>7579998.3500000006</v>
      </c>
      <c r="AA6" s="11">
        <v>7535750.4800000004</v>
      </c>
      <c r="AB6" s="11">
        <v>0</v>
      </c>
      <c r="AC6" s="11">
        <v>44247.87</v>
      </c>
      <c r="AD6" s="4">
        <f t="shared" si="6"/>
        <v>7579998.3500000006</v>
      </c>
      <c r="AE6" s="11">
        <v>7535750.4800000004</v>
      </c>
      <c r="AF6" s="11">
        <v>0</v>
      </c>
      <c r="AG6" s="11">
        <v>44247.87</v>
      </c>
      <c r="AH6" s="4">
        <f t="shared" si="7"/>
        <v>7579998.3500000006</v>
      </c>
      <c r="AI6" s="11">
        <v>7535750.4800000004</v>
      </c>
      <c r="AJ6" s="11">
        <v>0</v>
      </c>
      <c r="AK6" s="11">
        <v>44247.87</v>
      </c>
      <c r="AL6" s="4">
        <f t="shared" si="8"/>
        <v>7579998.3500000006</v>
      </c>
      <c r="AM6" s="11">
        <v>7535750.4800000004</v>
      </c>
      <c r="AN6" s="11">
        <v>0</v>
      </c>
      <c r="AO6" s="11">
        <v>44247.87</v>
      </c>
      <c r="AP6" s="4">
        <f t="shared" si="9"/>
        <v>7579998.3500000006</v>
      </c>
      <c r="AQ6" s="4">
        <v>243809.23</v>
      </c>
      <c r="AR6" s="4">
        <v>0</v>
      </c>
      <c r="AS6" s="4">
        <v>1332.16</v>
      </c>
      <c r="AT6" s="4">
        <f t="shared" si="10"/>
        <v>245141.39</v>
      </c>
      <c r="AU6" s="11">
        <v>100</v>
      </c>
      <c r="AV6" s="11">
        <v>0</v>
      </c>
      <c r="AW6" s="11">
        <v>100</v>
      </c>
      <c r="AX6" s="11">
        <f>SUM(AU6:AW6)</f>
        <v>200</v>
      </c>
      <c r="AY6" s="11">
        <f t="shared" si="11"/>
        <v>79642836.14145039</v>
      </c>
    </row>
    <row r="7" spans="1:51">
      <c r="A7" s="1" t="s">
        <v>32</v>
      </c>
      <c r="B7" s="1" t="s">
        <v>33</v>
      </c>
      <c r="C7" s="11">
        <v>1649531.5</v>
      </c>
      <c r="D7" s="11">
        <v>0</v>
      </c>
      <c r="E7" s="11">
        <v>92572.13</v>
      </c>
      <c r="F7" s="11">
        <f t="shared" si="0"/>
        <v>1742103.63</v>
      </c>
      <c r="G7" s="11">
        <v>1649531.5</v>
      </c>
      <c r="H7" s="11">
        <v>0</v>
      </c>
      <c r="I7" s="11">
        <v>92572.13</v>
      </c>
      <c r="J7" s="11">
        <f t="shared" si="1"/>
        <v>1742103.63</v>
      </c>
      <c r="K7" s="11">
        <v>1649531.5</v>
      </c>
      <c r="L7" s="11">
        <v>0</v>
      </c>
      <c r="M7" s="11">
        <v>92572.13</v>
      </c>
      <c r="N7" s="11">
        <f t="shared" si="2"/>
        <v>1742103.63</v>
      </c>
      <c r="O7" s="11">
        <v>1780410.38</v>
      </c>
      <c r="P7" s="11">
        <v>0</v>
      </c>
      <c r="Q7" s="11">
        <v>88727.59</v>
      </c>
      <c r="R7" s="11">
        <f t="shared" si="3"/>
        <v>1869137.97</v>
      </c>
      <c r="S7" s="11">
        <v>1848350.2</v>
      </c>
      <c r="T7" s="11">
        <v>0</v>
      </c>
      <c r="U7" s="11">
        <v>92113.4</v>
      </c>
      <c r="V7" s="4">
        <f t="shared" si="4"/>
        <v>1940463.5999999999</v>
      </c>
      <c r="W7" s="11">
        <v>1848350.2</v>
      </c>
      <c r="X7" s="11">
        <v>0</v>
      </c>
      <c r="Y7" s="11">
        <v>92113.4</v>
      </c>
      <c r="Z7" s="4">
        <f t="shared" si="5"/>
        <v>1940463.5999999999</v>
      </c>
      <c r="AA7" s="11">
        <v>1848350.2</v>
      </c>
      <c r="AB7" s="11">
        <v>0</v>
      </c>
      <c r="AC7" s="11">
        <v>92113.4</v>
      </c>
      <c r="AD7" s="4">
        <f t="shared" si="6"/>
        <v>1940463.5999999999</v>
      </c>
      <c r="AE7" s="11">
        <v>1848350.2</v>
      </c>
      <c r="AF7" s="11">
        <v>0</v>
      </c>
      <c r="AG7" s="11">
        <v>92113.4</v>
      </c>
      <c r="AH7" s="4">
        <f t="shared" si="7"/>
        <v>1940463.5999999999</v>
      </c>
      <c r="AI7" s="11">
        <v>1848350.2</v>
      </c>
      <c r="AJ7" s="11">
        <v>0</v>
      </c>
      <c r="AK7" s="11">
        <v>92113.4</v>
      </c>
      <c r="AL7" s="4">
        <f t="shared" si="8"/>
        <v>1940463.5999999999</v>
      </c>
      <c r="AM7" s="11">
        <v>1848350.2</v>
      </c>
      <c r="AN7" s="11">
        <v>0</v>
      </c>
      <c r="AO7" s="11">
        <v>92113.4</v>
      </c>
      <c r="AP7" s="4">
        <f t="shared" si="9"/>
        <v>1940463.5999999999</v>
      </c>
      <c r="AQ7" s="4">
        <v>59725.45</v>
      </c>
      <c r="AR7" s="4">
        <v>0</v>
      </c>
      <c r="AS7" s="4">
        <v>2881.43</v>
      </c>
      <c r="AT7" s="4">
        <f t="shared" si="10"/>
        <v>62606.879999999997</v>
      </c>
      <c r="AU7" s="11">
        <v>100</v>
      </c>
      <c r="AV7" s="11">
        <v>0</v>
      </c>
      <c r="AW7" s="11">
        <v>100</v>
      </c>
      <c r="AX7" s="11">
        <f>SUM(AU7:AW7)</f>
        <v>200</v>
      </c>
      <c r="AY7" s="11">
        <f t="shared" si="11"/>
        <v>18801037.34</v>
      </c>
    </row>
    <row r="8" spans="1:51">
      <c r="A8" s="1" t="s">
        <v>34</v>
      </c>
      <c r="B8" s="1" t="s">
        <v>35</v>
      </c>
      <c r="C8" s="11">
        <v>761085.08</v>
      </c>
      <c r="D8" s="11">
        <v>0</v>
      </c>
      <c r="E8" s="11">
        <v>20030.48</v>
      </c>
      <c r="F8" s="11">
        <f t="shared" si="0"/>
        <v>781115.55999999994</v>
      </c>
      <c r="G8" s="11">
        <v>761085.08</v>
      </c>
      <c r="H8" s="11">
        <v>0</v>
      </c>
      <c r="I8" s="11">
        <v>20030.48</v>
      </c>
      <c r="J8" s="11">
        <f t="shared" si="1"/>
        <v>781115.55999999994</v>
      </c>
      <c r="K8" s="11">
        <v>761085.08</v>
      </c>
      <c r="L8" s="11">
        <v>0</v>
      </c>
      <c r="M8" s="11">
        <v>20030.48</v>
      </c>
      <c r="N8" s="11">
        <f t="shared" si="2"/>
        <v>781115.55999999994</v>
      </c>
      <c r="O8" s="11">
        <v>603057.69999999995</v>
      </c>
      <c r="P8" s="11">
        <v>0</v>
      </c>
      <c r="Q8" s="11">
        <v>19674.099999999999</v>
      </c>
      <c r="R8" s="11">
        <f t="shared" si="3"/>
        <v>622731.79999999993</v>
      </c>
      <c r="S8" s="11">
        <v>626070.16</v>
      </c>
      <c r="T8" s="11">
        <v>0</v>
      </c>
      <c r="U8" s="11">
        <v>20424.86</v>
      </c>
      <c r="V8" s="4">
        <f t="shared" si="4"/>
        <v>646495.02</v>
      </c>
      <c r="W8" s="11">
        <v>626070.16</v>
      </c>
      <c r="X8" s="11">
        <v>0</v>
      </c>
      <c r="Y8" s="11">
        <v>20424.86</v>
      </c>
      <c r="Z8" s="4">
        <f t="shared" si="5"/>
        <v>646495.02</v>
      </c>
      <c r="AA8" s="11">
        <v>626070.16</v>
      </c>
      <c r="AB8" s="11">
        <v>0</v>
      </c>
      <c r="AC8" s="11">
        <v>20424.86</v>
      </c>
      <c r="AD8" s="4">
        <f t="shared" si="6"/>
        <v>646495.02</v>
      </c>
      <c r="AE8" s="11">
        <v>626070.16</v>
      </c>
      <c r="AF8" s="11">
        <v>0</v>
      </c>
      <c r="AG8" s="11">
        <v>20424.86</v>
      </c>
      <c r="AH8" s="4">
        <f t="shared" si="7"/>
        <v>646495.02</v>
      </c>
      <c r="AI8" s="11">
        <v>626070.16</v>
      </c>
      <c r="AJ8" s="11">
        <v>0</v>
      </c>
      <c r="AK8" s="11">
        <v>20424.86</v>
      </c>
      <c r="AL8" s="4">
        <f t="shared" si="8"/>
        <v>646495.02</v>
      </c>
      <c r="AM8" s="11">
        <v>626070.16</v>
      </c>
      <c r="AN8" s="11">
        <v>0</v>
      </c>
      <c r="AO8" s="11">
        <v>20424.86</v>
      </c>
      <c r="AP8" s="4">
        <f t="shared" si="9"/>
        <v>646495.02</v>
      </c>
      <c r="AQ8" s="4">
        <v>20163.97</v>
      </c>
      <c r="AR8" s="4">
        <v>0</v>
      </c>
      <c r="AS8" s="4">
        <v>561.08000000000004</v>
      </c>
      <c r="AT8" s="4">
        <f t="shared" si="10"/>
        <v>20725.050000000003</v>
      </c>
      <c r="AU8" s="11">
        <v>100</v>
      </c>
      <c r="AV8" s="11">
        <v>0</v>
      </c>
      <c r="AW8" s="11">
        <v>100</v>
      </c>
      <c r="AX8" s="11">
        <f>SUM(AU8:AW8)</f>
        <v>200</v>
      </c>
      <c r="AY8" s="11">
        <f t="shared" si="11"/>
        <v>6865973.6499999976</v>
      </c>
    </row>
    <row r="9" spans="1:51">
      <c r="A9" s="1" t="s">
        <v>36</v>
      </c>
      <c r="B9" s="1" t="s">
        <v>37</v>
      </c>
      <c r="C9" s="11">
        <v>1344940.13</v>
      </c>
      <c r="D9" s="11">
        <v>556352.79</v>
      </c>
      <c r="E9" s="11">
        <v>329024.76</v>
      </c>
      <c r="F9" s="11">
        <f t="shared" si="0"/>
        <v>2230317.6799999997</v>
      </c>
      <c r="G9" s="11">
        <v>1344940.13</v>
      </c>
      <c r="H9" s="11">
        <v>556352.79</v>
      </c>
      <c r="I9" s="11">
        <v>329024.76</v>
      </c>
      <c r="J9" s="11">
        <f t="shared" si="1"/>
        <v>2230317.6799999997</v>
      </c>
      <c r="K9" s="11">
        <v>1344940.13</v>
      </c>
      <c r="L9" s="11">
        <v>556352.79</v>
      </c>
      <c r="M9" s="11">
        <v>329024.76</v>
      </c>
      <c r="N9" s="11">
        <f t="shared" si="2"/>
        <v>2230317.6799999997</v>
      </c>
      <c r="O9" s="11">
        <v>1435121.23</v>
      </c>
      <c r="P9" s="11">
        <v>539360</v>
      </c>
      <c r="Q9" s="11">
        <v>313836.53000000003</v>
      </c>
      <c r="R9" s="11">
        <f t="shared" si="3"/>
        <v>2288317.7599999998</v>
      </c>
      <c r="S9" s="11">
        <v>1417207.63</v>
      </c>
      <c r="T9" s="11">
        <v>561096.47</v>
      </c>
      <c r="U9" s="11">
        <v>277777.78000000003</v>
      </c>
      <c r="V9" s="4">
        <f t="shared" si="4"/>
        <v>2256081.88</v>
      </c>
      <c r="W9" s="11">
        <v>1417207.63</v>
      </c>
      <c r="X9" s="11">
        <v>561096.47</v>
      </c>
      <c r="Y9" s="11">
        <v>277777.78000000003</v>
      </c>
      <c r="Z9" s="4">
        <f t="shared" si="5"/>
        <v>2256081.88</v>
      </c>
      <c r="AA9" s="11">
        <v>1417207.63</v>
      </c>
      <c r="AB9" s="11">
        <v>561096.47</v>
      </c>
      <c r="AC9" s="11">
        <v>277777.78000000003</v>
      </c>
      <c r="AD9" s="4">
        <f t="shared" si="6"/>
        <v>2256081.88</v>
      </c>
      <c r="AE9" s="11">
        <v>1417207.63</v>
      </c>
      <c r="AF9" s="11">
        <v>561096.47</v>
      </c>
      <c r="AG9" s="11">
        <v>277777.78000000003</v>
      </c>
      <c r="AH9" s="4">
        <f t="shared" si="7"/>
        <v>2256081.88</v>
      </c>
      <c r="AI9" s="11">
        <v>1417207.63</v>
      </c>
      <c r="AJ9" s="11">
        <v>561096.47</v>
      </c>
      <c r="AK9" s="11">
        <v>277777.78000000003</v>
      </c>
      <c r="AL9" s="4">
        <f t="shared" si="8"/>
        <v>2256081.88</v>
      </c>
      <c r="AM9" s="11">
        <v>1381207.6</v>
      </c>
      <c r="AN9" s="11">
        <v>561096.47</v>
      </c>
      <c r="AO9" s="11">
        <v>232060.79</v>
      </c>
      <c r="AP9" s="4">
        <f t="shared" si="9"/>
        <v>2174364.8600000003</v>
      </c>
      <c r="AQ9" s="4">
        <v>19730.099999999999</v>
      </c>
      <c r="AR9" s="4">
        <v>22326.82</v>
      </c>
      <c r="AS9" s="4">
        <v>9899.9599999999991</v>
      </c>
      <c r="AT9" s="4">
        <f t="shared" si="10"/>
        <v>51956.88</v>
      </c>
      <c r="AU9" s="11">
        <v>100</v>
      </c>
      <c r="AV9" s="11">
        <v>100</v>
      </c>
      <c r="AW9" s="11">
        <v>100</v>
      </c>
      <c r="AX9" s="11">
        <f>SUM(AU9:AW9)</f>
        <v>300</v>
      </c>
      <c r="AY9" s="11">
        <f t="shared" si="11"/>
        <v>22486301.939999994</v>
      </c>
    </row>
    <row r="10" spans="1:51">
      <c r="A10" s="1" t="s">
        <v>38</v>
      </c>
      <c r="B10" s="1" t="s">
        <v>39</v>
      </c>
      <c r="C10" s="11">
        <v>639757.61</v>
      </c>
      <c r="D10" s="11">
        <v>0</v>
      </c>
      <c r="E10" s="11">
        <v>215694.22</v>
      </c>
      <c r="F10" s="11">
        <f t="shared" si="0"/>
        <v>855451.83</v>
      </c>
      <c r="G10" s="11">
        <v>639757.61</v>
      </c>
      <c r="H10" s="11">
        <v>0</v>
      </c>
      <c r="I10" s="11">
        <v>215694.22</v>
      </c>
      <c r="J10" s="11">
        <f t="shared" si="1"/>
        <v>855451.83</v>
      </c>
      <c r="K10" s="11">
        <v>639757.61</v>
      </c>
      <c r="L10" s="11">
        <v>0</v>
      </c>
      <c r="M10" s="11">
        <v>215694.22</v>
      </c>
      <c r="N10" s="11">
        <f t="shared" si="2"/>
        <v>855451.83</v>
      </c>
      <c r="O10" s="11">
        <v>637402.18999999994</v>
      </c>
      <c r="P10" s="11">
        <v>0</v>
      </c>
      <c r="Q10" s="11">
        <v>203598.15</v>
      </c>
      <c r="R10" s="11">
        <f t="shared" si="3"/>
        <v>841000.34</v>
      </c>
      <c r="S10" s="11">
        <v>661725.23</v>
      </c>
      <c r="T10" s="11">
        <v>0</v>
      </c>
      <c r="U10" s="11">
        <v>211367.38</v>
      </c>
      <c r="V10" s="4">
        <f t="shared" si="4"/>
        <v>873092.61</v>
      </c>
      <c r="W10" s="11">
        <v>661725.23</v>
      </c>
      <c r="X10" s="11">
        <v>0</v>
      </c>
      <c r="Y10" s="11">
        <v>211367.38</v>
      </c>
      <c r="Z10" s="4">
        <f t="shared" si="5"/>
        <v>873092.61</v>
      </c>
      <c r="AA10" s="11">
        <v>661725.23</v>
      </c>
      <c r="AB10" s="11">
        <v>0</v>
      </c>
      <c r="AC10" s="11">
        <v>211367.38</v>
      </c>
      <c r="AD10" s="4">
        <f t="shared" si="6"/>
        <v>873092.61</v>
      </c>
      <c r="AE10" s="11">
        <v>661725.23</v>
      </c>
      <c r="AF10" s="11">
        <v>0</v>
      </c>
      <c r="AG10" s="11">
        <v>211367.38</v>
      </c>
      <c r="AH10" s="4">
        <f t="shared" si="7"/>
        <v>873092.61</v>
      </c>
      <c r="AI10" s="11">
        <v>661725.23</v>
      </c>
      <c r="AJ10" s="11">
        <v>0</v>
      </c>
      <c r="AK10" s="11">
        <v>211367.38</v>
      </c>
      <c r="AL10" s="4">
        <f t="shared" si="8"/>
        <v>873092.61</v>
      </c>
      <c r="AM10" s="11">
        <v>661725.23</v>
      </c>
      <c r="AN10" s="11">
        <v>0</v>
      </c>
      <c r="AO10" s="11">
        <v>211367.38</v>
      </c>
      <c r="AP10" s="4">
        <f t="shared" si="9"/>
        <v>873092.61</v>
      </c>
      <c r="AQ10" s="4">
        <v>21318.03</v>
      </c>
      <c r="AR10" s="4">
        <v>0</v>
      </c>
      <c r="AS10" s="4">
        <v>6741.28</v>
      </c>
      <c r="AT10" s="4">
        <f t="shared" si="10"/>
        <v>28059.309999999998</v>
      </c>
      <c r="AU10" s="11">
        <v>100</v>
      </c>
      <c r="AV10" s="11">
        <v>0</v>
      </c>
      <c r="AW10" s="11">
        <v>100</v>
      </c>
      <c r="AX10" s="11">
        <f>SUM(AU10:AW10)</f>
        <v>200</v>
      </c>
      <c r="AY10" s="11">
        <f t="shared" si="11"/>
        <v>8674170.8000000007</v>
      </c>
    </row>
    <row r="11" spans="1:51">
      <c r="A11" s="1" t="s">
        <v>40</v>
      </c>
      <c r="B11" s="1" t="s">
        <v>41</v>
      </c>
      <c r="C11" s="11">
        <v>0</v>
      </c>
      <c r="D11" s="11">
        <v>2620909.4500000002</v>
      </c>
      <c r="E11" s="11">
        <v>0</v>
      </c>
      <c r="F11" s="11">
        <f t="shared" si="0"/>
        <v>2620909.4500000002</v>
      </c>
      <c r="G11" s="11">
        <v>0</v>
      </c>
      <c r="H11" s="11">
        <v>2620909.4500000002</v>
      </c>
      <c r="I11" s="11">
        <v>0</v>
      </c>
      <c r="J11" s="11">
        <f t="shared" si="1"/>
        <v>2620909.4500000002</v>
      </c>
      <c r="K11" s="11">
        <v>0</v>
      </c>
      <c r="L11" s="11">
        <v>2620909.4500000002</v>
      </c>
      <c r="M11" s="11">
        <v>0</v>
      </c>
      <c r="N11" s="11">
        <f t="shared" si="2"/>
        <v>2620909.4500000002</v>
      </c>
      <c r="O11" s="11">
        <v>0</v>
      </c>
      <c r="P11" s="11">
        <v>2548384.9</v>
      </c>
      <c r="Q11" s="11">
        <v>0</v>
      </c>
      <c r="R11" s="11">
        <f t="shared" si="3"/>
        <v>2548384.9</v>
      </c>
      <c r="S11" s="11">
        <v>0</v>
      </c>
      <c r="T11" s="11">
        <v>2645545.9700000002</v>
      </c>
      <c r="U11" s="11">
        <v>0</v>
      </c>
      <c r="V11" s="4">
        <f t="shared" si="4"/>
        <v>2645545.9700000002</v>
      </c>
      <c r="W11" s="11">
        <v>0</v>
      </c>
      <c r="X11" s="11">
        <v>2645545.9700000002</v>
      </c>
      <c r="Y11" s="11">
        <v>0</v>
      </c>
      <c r="Z11" s="4">
        <f t="shared" si="5"/>
        <v>2645545.9700000002</v>
      </c>
      <c r="AA11" s="11">
        <v>0</v>
      </c>
      <c r="AB11" s="11">
        <v>2645545.9700000002</v>
      </c>
      <c r="AC11" s="11">
        <v>0</v>
      </c>
      <c r="AD11" s="4">
        <f t="shared" si="6"/>
        <v>2645545.9700000002</v>
      </c>
      <c r="AE11" s="11">
        <v>0</v>
      </c>
      <c r="AF11" s="11">
        <v>2645545.9700000002</v>
      </c>
      <c r="AG11" s="11">
        <v>0</v>
      </c>
      <c r="AH11" s="4">
        <f t="shared" si="7"/>
        <v>2645545.9700000002</v>
      </c>
      <c r="AI11" s="11">
        <v>0</v>
      </c>
      <c r="AJ11" s="11">
        <v>2645545.9700000002</v>
      </c>
      <c r="AK11" s="11">
        <v>0</v>
      </c>
      <c r="AL11" s="4">
        <f t="shared" si="8"/>
        <v>2645545.9700000002</v>
      </c>
      <c r="AM11" s="11">
        <v>0</v>
      </c>
      <c r="AN11" s="11">
        <v>2645545.9700000002</v>
      </c>
      <c r="AO11" s="11">
        <v>0</v>
      </c>
      <c r="AP11" s="4">
        <f t="shared" si="9"/>
        <v>2645545.9700000002</v>
      </c>
      <c r="AQ11" s="4">
        <v>0</v>
      </c>
      <c r="AR11" s="4">
        <v>85446.93</v>
      </c>
      <c r="AS11" s="4">
        <v>0</v>
      </c>
      <c r="AT11" s="4">
        <f t="shared" si="10"/>
        <v>85446.93</v>
      </c>
      <c r="AU11" s="11">
        <v>0</v>
      </c>
      <c r="AV11" s="11">
        <v>100</v>
      </c>
      <c r="AW11" s="11">
        <v>0</v>
      </c>
      <c r="AX11" s="11">
        <f>SUM(AU11:AW11)</f>
        <v>100</v>
      </c>
      <c r="AY11" s="11">
        <f t="shared" si="11"/>
        <v>26369935.999999996</v>
      </c>
    </row>
    <row r="12" spans="1:51">
      <c r="A12" s="1" t="s">
        <v>42</v>
      </c>
      <c r="B12" s="1" t="s">
        <v>43</v>
      </c>
      <c r="C12" s="11">
        <v>2866810.63</v>
      </c>
      <c r="D12" s="11">
        <v>62824.84</v>
      </c>
      <c r="E12" s="11">
        <v>456843.08</v>
      </c>
      <c r="F12" s="11">
        <f t="shared" si="0"/>
        <v>3386478.55</v>
      </c>
      <c r="G12" s="11">
        <v>2866810.63</v>
      </c>
      <c r="H12" s="11">
        <v>62824.84</v>
      </c>
      <c r="I12" s="11">
        <v>456843.08</v>
      </c>
      <c r="J12" s="11">
        <f t="shared" si="1"/>
        <v>3386478.55</v>
      </c>
      <c r="K12" s="11">
        <v>2866810.63</v>
      </c>
      <c r="L12" s="11">
        <v>62824.84</v>
      </c>
      <c r="M12" s="11">
        <v>456843.08</v>
      </c>
      <c r="N12" s="11">
        <f t="shared" si="2"/>
        <v>3386478.55</v>
      </c>
      <c r="O12" s="11">
        <v>3089733.88</v>
      </c>
      <c r="P12" s="11">
        <v>0</v>
      </c>
      <c r="Q12" s="11">
        <v>433875.05</v>
      </c>
      <c r="R12" s="11">
        <f t="shared" si="3"/>
        <v>3523608.9299999997</v>
      </c>
      <c r="S12" s="11">
        <v>2743014.02</v>
      </c>
      <c r="T12" s="11">
        <v>0</v>
      </c>
      <c r="U12" s="11">
        <v>450431.57</v>
      </c>
      <c r="V12" s="4">
        <f t="shared" si="4"/>
        <v>3193445.59</v>
      </c>
      <c r="W12" s="11">
        <v>2743014.02</v>
      </c>
      <c r="X12" s="11">
        <v>0</v>
      </c>
      <c r="Y12" s="11">
        <v>450431.57</v>
      </c>
      <c r="Z12" s="4">
        <f t="shared" si="5"/>
        <v>3193445.59</v>
      </c>
      <c r="AA12" s="11">
        <v>2743014.02</v>
      </c>
      <c r="AB12" s="11">
        <v>0</v>
      </c>
      <c r="AC12" s="11">
        <v>450431.57</v>
      </c>
      <c r="AD12" s="4">
        <f t="shared" si="6"/>
        <v>3193445.59</v>
      </c>
      <c r="AE12" s="11">
        <v>2743014.02</v>
      </c>
      <c r="AF12" s="11">
        <v>0</v>
      </c>
      <c r="AG12" s="11">
        <v>450431.57</v>
      </c>
      <c r="AH12" s="4">
        <f t="shared" si="7"/>
        <v>3193445.59</v>
      </c>
      <c r="AI12" s="11">
        <v>2743014.02</v>
      </c>
      <c r="AJ12" s="11">
        <v>0</v>
      </c>
      <c r="AK12" s="11">
        <v>450431.57</v>
      </c>
      <c r="AL12" s="4">
        <f t="shared" si="8"/>
        <v>3193445.59</v>
      </c>
      <c r="AM12" s="11">
        <v>2743014.02</v>
      </c>
      <c r="AN12" s="11">
        <v>0</v>
      </c>
      <c r="AO12" s="11">
        <v>450431.57</v>
      </c>
      <c r="AP12" s="4">
        <f t="shared" si="9"/>
        <v>3193445.59</v>
      </c>
      <c r="AQ12" s="4">
        <v>9899.93</v>
      </c>
      <c r="AR12" s="15">
        <v>0</v>
      </c>
      <c r="AS12" s="4">
        <v>14479.08</v>
      </c>
      <c r="AT12" s="4">
        <f t="shared" si="10"/>
        <v>24379.010000000002</v>
      </c>
      <c r="AU12" s="11">
        <v>100</v>
      </c>
      <c r="AV12" s="11">
        <v>0</v>
      </c>
      <c r="AW12" s="11">
        <v>100</v>
      </c>
      <c r="AX12" s="11">
        <f>SUM(AU12:AW12)</f>
        <v>200</v>
      </c>
      <c r="AY12" s="11">
        <f t="shared" si="11"/>
        <v>32868297.129999999</v>
      </c>
    </row>
    <row r="13" spans="1:51">
      <c r="A13" s="1" t="s">
        <v>44</v>
      </c>
      <c r="B13" s="1" t="s">
        <v>45</v>
      </c>
      <c r="C13" s="11">
        <v>2226367.14</v>
      </c>
      <c r="D13" s="11">
        <v>166723.46</v>
      </c>
      <c r="E13" s="11">
        <v>147615.82</v>
      </c>
      <c r="F13" s="11">
        <f t="shared" si="0"/>
        <v>2540706.42</v>
      </c>
      <c r="G13" s="11">
        <v>2226367.14</v>
      </c>
      <c r="H13" s="11">
        <v>166723.46</v>
      </c>
      <c r="I13" s="11">
        <v>147615.82</v>
      </c>
      <c r="J13" s="11">
        <f t="shared" si="1"/>
        <v>2540706.42</v>
      </c>
      <c r="K13" s="11">
        <v>2226367.14</v>
      </c>
      <c r="L13" s="11">
        <v>166723.46</v>
      </c>
      <c r="M13" s="11">
        <v>147615.82</v>
      </c>
      <c r="N13" s="11">
        <f t="shared" si="2"/>
        <v>2540706.42</v>
      </c>
      <c r="O13" s="11">
        <v>2539357.2200000002</v>
      </c>
      <c r="P13" s="11">
        <v>161627.75</v>
      </c>
      <c r="Q13" s="11">
        <v>134448.78</v>
      </c>
      <c r="R13" s="11">
        <f t="shared" si="3"/>
        <v>2835433.75</v>
      </c>
      <c r="S13" s="11">
        <v>2636258.1800000002</v>
      </c>
      <c r="T13" s="11">
        <v>167873.72</v>
      </c>
      <c r="U13" s="11">
        <v>139579.29999999999</v>
      </c>
      <c r="V13" s="4">
        <f t="shared" si="4"/>
        <v>2943711.2</v>
      </c>
      <c r="W13" s="11">
        <v>2636258.1800000002</v>
      </c>
      <c r="X13" s="11">
        <v>167873.72</v>
      </c>
      <c r="Y13" s="11">
        <v>139579.29999999999</v>
      </c>
      <c r="Z13" s="4">
        <f t="shared" si="5"/>
        <v>2943711.2</v>
      </c>
      <c r="AA13" s="11">
        <v>2636258.1800000002</v>
      </c>
      <c r="AB13" s="11">
        <v>167873.72</v>
      </c>
      <c r="AC13" s="11">
        <v>139579.29999999999</v>
      </c>
      <c r="AD13" s="4">
        <f t="shared" si="6"/>
        <v>2943711.2</v>
      </c>
      <c r="AE13" s="11">
        <v>2636258.1800000002</v>
      </c>
      <c r="AF13" s="11">
        <v>167873.72</v>
      </c>
      <c r="AG13" s="11">
        <v>139579.29999999999</v>
      </c>
      <c r="AH13" s="4">
        <f t="shared" si="7"/>
        <v>2943711.2</v>
      </c>
      <c r="AI13" s="11">
        <v>2636258.1800000002</v>
      </c>
      <c r="AJ13" s="11">
        <v>167873.72</v>
      </c>
      <c r="AK13" s="11">
        <v>139579.29999999999</v>
      </c>
      <c r="AL13" s="4">
        <f t="shared" si="8"/>
        <v>2943711.2</v>
      </c>
      <c r="AM13" s="11">
        <v>2636258.1800000002</v>
      </c>
      <c r="AN13" s="11">
        <v>167873.72</v>
      </c>
      <c r="AO13" s="11">
        <v>139579.29999999999</v>
      </c>
      <c r="AP13" s="4">
        <f t="shared" si="9"/>
        <v>2943711.2</v>
      </c>
      <c r="AQ13" s="4">
        <v>85227.66</v>
      </c>
      <c r="AR13" s="4">
        <v>5408.99</v>
      </c>
      <c r="AS13" s="4">
        <v>4417.76</v>
      </c>
      <c r="AT13" s="4">
        <f t="shared" si="10"/>
        <v>95054.41</v>
      </c>
      <c r="AU13" s="11">
        <v>100</v>
      </c>
      <c r="AV13" s="11">
        <v>100</v>
      </c>
      <c r="AW13" s="11">
        <v>100</v>
      </c>
      <c r="AX13" s="11">
        <f>SUM(AU13:AW13)</f>
        <v>300</v>
      </c>
      <c r="AY13" s="11">
        <f t="shared" si="11"/>
        <v>28215174.619999997</v>
      </c>
    </row>
    <row r="14" spans="1:51">
      <c r="A14" s="1" t="s">
        <v>46</v>
      </c>
      <c r="B14" s="1" t="s">
        <v>47</v>
      </c>
      <c r="C14" s="11">
        <v>3937326.51</v>
      </c>
      <c r="D14" s="11">
        <v>257854.9</v>
      </c>
      <c r="E14" s="11">
        <v>120277.12</v>
      </c>
      <c r="F14" s="11">
        <f t="shared" si="0"/>
        <v>4315458.5299999993</v>
      </c>
      <c r="G14" s="11">
        <v>3937326.51</v>
      </c>
      <c r="H14" s="11">
        <v>257854.9</v>
      </c>
      <c r="I14" s="11">
        <v>120277.12</v>
      </c>
      <c r="J14" s="11">
        <f t="shared" si="1"/>
        <v>4315458.5299999993</v>
      </c>
      <c r="K14" s="11">
        <v>4721380.12</v>
      </c>
      <c r="L14" s="11">
        <v>257854.9</v>
      </c>
      <c r="M14" s="11">
        <v>120277.12</v>
      </c>
      <c r="N14" s="11">
        <f t="shared" si="2"/>
        <v>5099512.1400000006</v>
      </c>
      <c r="O14" s="11">
        <v>3788655.24</v>
      </c>
      <c r="P14" s="11">
        <v>251965.66</v>
      </c>
      <c r="Q14" s="11">
        <v>114418.45</v>
      </c>
      <c r="R14" s="11">
        <f t="shared" si="3"/>
        <v>4155039.35</v>
      </c>
      <c r="S14" s="11">
        <v>4033226.31</v>
      </c>
      <c r="T14" s="11">
        <v>260744.43</v>
      </c>
      <c r="U14" s="11">
        <v>118784.62</v>
      </c>
      <c r="V14" s="4">
        <f t="shared" si="4"/>
        <v>4412755.3600000003</v>
      </c>
      <c r="W14" s="11">
        <v>4033226.31</v>
      </c>
      <c r="X14" s="11">
        <v>260744.43</v>
      </c>
      <c r="Y14" s="11">
        <v>118784.62</v>
      </c>
      <c r="Z14" s="4">
        <f t="shared" si="5"/>
        <v>4412755.3600000003</v>
      </c>
      <c r="AA14" s="11">
        <v>4033226.31</v>
      </c>
      <c r="AB14" s="11">
        <v>260744.43</v>
      </c>
      <c r="AC14" s="11">
        <v>118784.62</v>
      </c>
      <c r="AD14" s="4">
        <f t="shared" si="6"/>
        <v>4412755.3600000003</v>
      </c>
      <c r="AE14" s="11">
        <v>4033226.31</v>
      </c>
      <c r="AF14" s="11">
        <v>260744.43</v>
      </c>
      <c r="AG14" s="11">
        <v>118784.62</v>
      </c>
      <c r="AH14" s="4">
        <f t="shared" si="7"/>
        <v>4412755.3600000003</v>
      </c>
      <c r="AI14" s="11">
        <v>4033226.31</v>
      </c>
      <c r="AJ14" s="11">
        <v>260744.43</v>
      </c>
      <c r="AK14" s="11">
        <v>118784.62</v>
      </c>
      <c r="AL14" s="4">
        <f t="shared" si="8"/>
        <v>4412755.3600000003</v>
      </c>
      <c r="AM14" s="11">
        <v>4033226.31</v>
      </c>
      <c r="AN14" s="11">
        <v>260744.43</v>
      </c>
      <c r="AO14" s="11">
        <v>118784.62</v>
      </c>
      <c r="AP14" s="4">
        <f t="shared" si="9"/>
        <v>4412755.3600000003</v>
      </c>
      <c r="AQ14" s="4">
        <v>226764.97</v>
      </c>
      <c r="AR14" s="4">
        <v>7534.09</v>
      </c>
      <c r="AS14" s="4">
        <v>3744.69</v>
      </c>
      <c r="AT14" s="4">
        <f t="shared" si="10"/>
        <v>238043.75</v>
      </c>
      <c r="AU14" s="11">
        <v>100</v>
      </c>
      <c r="AV14" s="11">
        <v>100</v>
      </c>
      <c r="AW14" s="11">
        <v>100</v>
      </c>
      <c r="AX14" s="11">
        <f>SUM(AU14:AW14)</f>
        <v>300</v>
      </c>
      <c r="AY14" s="11">
        <f t="shared" si="11"/>
        <v>44600344.460000001</v>
      </c>
    </row>
    <row r="15" spans="1:51">
      <c r="A15" s="1" t="s">
        <v>48</v>
      </c>
      <c r="B15" s="1" t="s">
        <v>49</v>
      </c>
      <c r="C15" s="11">
        <v>1116261.3400000001</v>
      </c>
      <c r="D15" s="11">
        <v>57673.48</v>
      </c>
      <c r="E15" s="11">
        <v>50314.34</v>
      </c>
      <c r="F15" s="11">
        <f t="shared" si="0"/>
        <v>1224249.1600000001</v>
      </c>
      <c r="G15" s="11">
        <v>1116261.3400000001</v>
      </c>
      <c r="H15" s="11">
        <v>57673.48</v>
      </c>
      <c r="I15" s="11">
        <v>50314.34</v>
      </c>
      <c r="J15" s="11">
        <f t="shared" si="1"/>
        <v>1224249.1600000001</v>
      </c>
      <c r="K15" s="11">
        <v>1116261.3400000001</v>
      </c>
      <c r="L15" s="11">
        <v>57673.48</v>
      </c>
      <c r="M15" s="11">
        <v>50314.34</v>
      </c>
      <c r="N15" s="11">
        <f t="shared" si="2"/>
        <v>1224249.1600000001</v>
      </c>
      <c r="O15" s="11">
        <v>1259905.8999999999</v>
      </c>
      <c r="P15" s="11">
        <v>56199.01</v>
      </c>
      <c r="Q15" s="11">
        <v>48113.93</v>
      </c>
      <c r="R15" s="11">
        <f t="shared" si="3"/>
        <v>1364218.8399999999</v>
      </c>
      <c r="S15" s="11">
        <v>1307983.45</v>
      </c>
      <c r="T15" s="11">
        <v>58227.58</v>
      </c>
      <c r="U15" s="11">
        <v>49949.94</v>
      </c>
      <c r="V15" s="4">
        <f t="shared" si="4"/>
        <v>1416160.97</v>
      </c>
      <c r="W15" s="11">
        <v>1307983.45</v>
      </c>
      <c r="X15" s="11">
        <v>58227.58</v>
      </c>
      <c r="Y15" s="11">
        <v>49949.94</v>
      </c>
      <c r="Z15" s="4">
        <f t="shared" si="5"/>
        <v>1416160.97</v>
      </c>
      <c r="AA15" s="11">
        <v>1307983.45</v>
      </c>
      <c r="AB15" s="11">
        <v>58227.58</v>
      </c>
      <c r="AC15" s="11">
        <v>49949.94</v>
      </c>
      <c r="AD15" s="4">
        <f t="shared" si="6"/>
        <v>1416160.97</v>
      </c>
      <c r="AE15" s="11">
        <v>1307983.45</v>
      </c>
      <c r="AF15" s="11">
        <v>58227.58</v>
      </c>
      <c r="AG15" s="11">
        <v>49949.94</v>
      </c>
      <c r="AH15" s="4">
        <f t="shared" si="7"/>
        <v>1416160.97</v>
      </c>
      <c r="AI15" s="11">
        <v>1307983.45</v>
      </c>
      <c r="AJ15" s="11">
        <v>58227.58</v>
      </c>
      <c r="AK15" s="11">
        <v>49949.94</v>
      </c>
      <c r="AL15" s="4">
        <f t="shared" si="8"/>
        <v>1416160.97</v>
      </c>
      <c r="AM15" s="11">
        <v>1307983.45</v>
      </c>
      <c r="AN15" s="11">
        <v>58227.58</v>
      </c>
      <c r="AO15" s="11">
        <v>49949.94</v>
      </c>
      <c r="AP15" s="4">
        <f t="shared" si="9"/>
        <v>1416160.97</v>
      </c>
      <c r="AQ15" s="4">
        <v>42235.42</v>
      </c>
      <c r="AR15" s="4">
        <v>1672.95</v>
      </c>
      <c r="AS15" s="4">
        <v>1516.76</v>
      </c>
      <c r="AT15" s="4">
        <f t="shared" si="10"/>
        <v>45425.13</v>
      </c>
      <c r="AU15" s="11">
        <v>100</v>
      </c>
      <c r="AV15" s="11">
        <v>100</v>
      </c>
      <c r="AW15" s="11">
        <v>100</v>
      </c>
      <c r="AX15" s="11">
        <f>SUM(AU15:AW15)</f>
        <v>300</v>
      </c>
      <c r="AY15" s="11">
        <f t="shared" si="11"/>
        <v>13579657.270000003</v>
      </c>
    </row>
    <row r="16" spans="1:51">
      <c r="A16" s="1" t="s">
        <v>50</v>
      </c>
      <c r="B16" s="1" t="s">
        <v>51</v>
      </c>
      <c r="C16" s="11">
        <v>1509138.57</v>
      </c>
      <c r="D16" s="11">
        <v>209001.39</v>
      </c>
      <c r="E16" s="11">
        <v>325011.06</v>
      </c>
      <c r="F16" s="11">
        <f t="shared" si="0"/>
        <v>2043151.02</v>
      </c>
      <c r="G16" s="11">
        <v>1509138.57</v>
      </c>
      <c r="H16" s="11">
        <v>209001.39</v>
      </c>
      <c r="I16" s="11">
        <v>325011.06</v>
      </c>
      <c r="J16" s="11">
        <f t="shared" si="1"/>
        <v>2043151.02</v>
      </c>
      <c r="K16" s="11">
        <v>1509138.57</v>
      </c>
      <c r="L16" s="11">
        <v>209001.39</v>
      </c>
      <c r="M16" s="11">
        <v>325011.06</v>
      </c>
      <c r="N16" s="11">
        <f t="shared" si="2"/>
        <v>2043151.02</v>
      </c>
      <c r="O16" s="11">
        <v>1459678.85</v>
      </c>
      <c r="P16" s="11">
        <v>203138.96</v>
      </c>
      <c r="Q16" s="11">
        <v>307173.34000000003</v>
      </c>
      <c r="R16" s="11">
        <f t="shared" si="3"/>
        <v>1969991.1500000001</v>
      </c>
      <c r="S16" s="11">
        <v>1515379.67</v>
      </c>
      <c r="T16" s="11">
        <v>210908.02</v>
      </c>
      <c r="U16" s="11">
        <v>318894.96000000002</v>
      </c>
      <c r="V16" s="4">
        <f t="shared" si="4"/>
        <v>2045182.65</v>
      </c>
      <c r="W16" s="11">
        <v>1515379.67</v>
      </c>
      <c r="X16" s="11">
        <v>210908.02</v>
      </c>
      <c r="Y16" s="11">
        <v>318894.96000000002</v>
      </c>
      <c r="Z16" s="4">
        <f t="shared" si="5"/>
        <v>2045182.65</v>
      </c>
      <c r="AA16" s="11">
        <v>1515379.67</v>
      </c>
      <c r="AB16" s="11">
        <v>210908.02</v>
      </c>
      <c r="AC16" s="11">
        <v>318894.96000000002</v>
      </c>
      <c r="AD16" s="4">
        <f t="shared" si="6"/>
        <v>2045182.65</v>
      </c>
      <c r="AE16" s="11">
        <v>1515379.67</v>
      </c>
      <c r="AF16" s="11">
        <v>210908.02</v>
      </c>
      <c r="AG16" s="11">
        <v>318894.96000000002</v>
      </c>
      <c r="AH16" s="4">
        <f t="shared" si="7"/>
        <v>2045182.65</v>
      </c>
      <c r="AI16" s="11">
        <v>1515379.67</v>
      </c>
      <c r="AJ16" s="11">
        <v>210908.02</v>
      </c>
      <c r="AK16" s="11">
        <v>318894.96000000002</v>
      </c>
      <c r="AL16" s="4">
        <f t="shared" si="8"/>
        <v>2045182.65</v>
      </c>
      <c r="AM16" s="11">
        <v>1515379.67</v>
      </c>
      <c r="AN16" s="11">
        <v>210908.02</v>
      </c>
      <c r="AO16" s="11">
        <v>318894.96000000002</v>
      </c>
      <c r="AP16" s="4">
        <f t="shared" si="9"/>
        <v>2045182.65</v>
      </c>
      <c r="AQ16" s="4">
        <f>49048.22-100</f>
        <v>48948.22</v>
      </c>
      <c r="AR16" s="4">
        <f>6843.16-100</f>
        <v>6743.16</v>
      </c>
      <c r="AS16" s="4">
        <f>10321.68-100</f>
        <v>10221.68</v>
      </c>
      <c r="AT16" s="4">
        <f t="shared" si="10"/>
        <v>65913.06</v>
      </c>
      <c r="AU16" s="11">
        <v>100</v>
      </c>
      <c r="AV16" s="11">
        <v>100</v>
      </c>
      <c r="AW16" s="11">
        <v>100</v>
      </c>
      <c r="AX16" s="11">
        <f>SUM(AU16:AW16)</f>
        <v>300</v>
      </c>
      <c r="AY16" s="11">
        <f t="shared" si="11"/>
        <v>20436753.169999998</v>
      </c>
    </row>
    <row r="17" spans="1:51">
      <c r="A17" s="1" t="s">
        <v>52</v>
      </c>
      <c r="B17" s="1" t="s">
        <v>53</v>
      </c>
      <c r="C17" s="11">
        <v>815824.95</v>
      </c>
      <c r="D17" s="11">
        <v>0</v>
      </c>
      <c r="E17" s="11">
        <v>119306.68</v>
      </c>
      <c r="F17" s="11">
        <f t="shared" si="0"/>
        <v>935131.62999999989</v>
      </c>
      <c r="G17" s="11">
        <v>815824.95</v>
      </c>
      <c r="H17" s="11">
        <v>0</v>
      </c>
      <c r="I17" s="11">
        <v>119306.68</v>
      </c>
      <c r="J17" s="11">
        <f t="shared" si="1"/>
        <v>935131.62999999989</v>
      </c>
      <c r="K17" s="11">
        <v>815824.95</v>
      </c>
      <c r="L17" s="11">
        <v>0</v>
      </c>
      <c r="M17" s="11">
        <v>119306.68</v>
      </c>
      <c r="N17" s="11">
        <f t="shared" si="2"/>
        <v>935131.62999999989</v>
      </c>
      <c r="O17" s="11">
        <v>829247.28</v>
      </c>
      <c r="P17" s="11">
        <v>0</v>
      </c>
      <c r="Q17" s="11">
        <v>116121.08</v>
      </c>
      <c r="R17" s="11">
        <f t="shared" si="3"/>
        <v>945368.36</v>
      </c>
      <c r="S17" s="11">
        <v>706580.4</v>
      </c>
      <c r="T17" s="11">
        <v>0</v>
      </c>
      <c r="U17" s="11">
        <v>60276.11</v>
      </c>
      <c r="V17" s="4">
        <f t="shared" si="4"/>
        <v>766856.51</v>
      </c>
      <c r="W17" s="11">
        <v>706580.4</v>
      </c>
      <c r="X17" s="11">
        <v>0</v>
      </c>
      <c r="Y17" s="11">
        <v>60276.11</v>
      </c>
      <c r="Z17" s="4">
        <f t="shared" si="5"/>
        <v>766856.51</v>
      </c>
      <c r="AA17" s="11">
        <v>706580.4</v>
      </c>
      <c r="AB17" s="11">
        <v>0</v>
      </c>
      <c r="AC17" s="11">
        <v>60276.11</v>
      </c>
      <c r="AD17" s="4">
        <f t="shared" si="6"/>
        <v>766856.51</v>
      </c>
      <c r="AE17" s="11">
        <v>706580.4</v>
      </c>
      <c r="AF17" s="11">
        <v>0</v>
      </c>
      <c r="AG17" s="11">
        <v>60276.11</v>
      </c>
      <c r="AH17" s="4">
        <f t="shared" si="7"/>
        <v>766856.51</v>
      </c>
      <c r="AI17" s="11">
        <v>706580.4</v>
      </c>
      <c r="AJ17" s="11">
        <v>0</v>
      </c>
      <c r="AK17" s="11">
        <v>60276.11</v>
      </c>
      <c r="AL17" s="4">
        <f t="shared" si="8"/>
        <v>766856.51</v>
      </c>
      <c r="AM17" s="11">
        <v>570811.56999999995</v>
      </c>
      <c r="AN17" s="11">
        <v>0</v>
      </c>
      <c r="AO17" s="11">
        <v>3166.52</v>
      </c>
      <c r="AP17" s="4">
        <f t="shared" si="9"/>
        <v>573978.09</v>
      </c>
      <c r="AQ17" s="4">
        <v>10000</v>
      </c>
      <c r="AR17" s="4">
        <v>0</v>
      </c>
      <c r="AS17" s="4">
        <v>800</v>
      </c>
      <c r="AT17" s="4">
        <f t="shared" si="10"/>
        <v>10800</v>
      </c>
      <c r="AU17" s="11">
        <v>100</v>
      </c>
      <c r="AV17" s="11">
        <v>0</v>
      </c>
      <c r="AW17" s="11">
        <v>100</v>
      </c>
      <c r="AX17" s="11">
        <f>SUM(AU17:AW17)</f>
        <v>200</v>
      </c>
      <c r="AY17" s="11">
        <f t="shared" si="11"/>
        <v>8170023.8899999987</v>
      </c>
    </row>
    <row r="18" spans="1:51">
      <c r="A18" s="1" t="s">
        <v>54</v>
      </c>
      <c r="B18" s="1" t="s">
        <v>55</v>
      </c>
      <c r="C18" s="11">
        <v>4678479.9950000001</v>
      </c>
      <c r="D18" s="11">
        <v>0</v>
      </c>
      <c r="E18" s="11">
        <v>444975.88</v>
      </c>
      <c r="F18" s="11">
        <f t="shared" si="0"/>
        <v>5123455.875</v>
      </c>
      <c r="G18" s="11">
        <v>4678479.9950000001</v>
      </c>
      <c r="H18" s="11">
        <v>0</v>
      </c>
      <c r="I18" s="11">
        <v>444975.88</v>
      </c>
      <c r="J18" s="11">
        <f t="shared" si="1"/>
        <v>5123455.875</v>
      </c>
      <c r="K18" s="11">
        <v>4678479.9950000001</v>
      </c>
      <c r="L18" s="11">
        <v>0</v>
      </c>
      <c r="M18" s="11">
        <v>444975.88</v>
      </c>
      <c r="N18" s="11">
        <f t="shared" si="2"/>
        <v>5123455.875</v>
      </c>
      <c r="O18" s="11">
        <v>4073881.92</v>
      </c>
      <c r="P18" s="11">
        <v>0</v>
      </c>
      <c r="Q18" s="11">
        <v>416384.75</v>
      </c>
      <c r="R18" s="11">
        <f t="shared" si="3"/>
        <v>4490266.67</v>
      </c>
      <c r="S18" s="11">
        <v>4518800.3099999996</v>
      </c>
      <c r="T18" s="11">
        <v>0</v>
      </c>
      <c r="U18" s="11">
        <v>434055.56</v>
      </c>
      <c r="V18" s="4">
        <f t="shared" si="4"/>
        <v>4952855.8699999992</v>
      </c>
      <c r="W18" s="11">
        <v>4518800.3099999996</v>
      </c>
      <c r="X18" s="11">
        <v>0</v>
      </c>
      <c r="Y18" s="11">
        <v>434055.56</v>
      </c>
      <c r="Z18" s="4">
        <f t="shared" si="5"/>
        <v>4952855.8699999992</v>
      </c>
      <c r="AA18" s="11">
        <v>4518800.3099999996</v>
      </c>
      <c r="AB18" s="11">
        <v>0</v>
      </c>
      <c r="AC18" s="11">
        <v>434055.56</v>
      </c>
      <c r="AD18" s="4">
        <f t="shared" si="6"/>
        <v>4952855.8699999992</v>
      </c>
      <c r="AE18" s="11">
        <v>4518800.3099999996</v>
      </c>
      <c r="AF18" s="11">
        <v>0</v>
      </c>
      <c r="AG18" s="11">
        <v>434055.56</v>
      </c>
      <c r="AH18" s="4">
        <f t="shared" si="7"/>
        <v>4952855.8699999992</v>
      </c>
      <c r="AI18" s="11">
        <v>4518800.3099999996</v>
      </c>
      <c r="AJ18" s="11">
        <v>0</v>
      </c>
      <c r="AK18" s="11">
        <v>434055.56</v>
      </c>
      <c r="AL18" s="4">
        <f t="shared" si="8"/>
        <v>4952855.8699999992</v>
      </c>
      <c r="AM18" s="11">
        <v>4518800.3099999996</v>
      </c>
      <c r="AN18" s="11">
        <v>0</v>
      </c>
      <c r="AO18" s="11">
        <v>434055.56</v>
      </c>
      <c r="AP18" s="4">
        <f t="shared" si="9"/>
        <v>4952855.8699999992</v>
      </c>
      <c r="AQ18" s="4">
        <f>425080.58-100</f>
        <v>424980.58</v>
      </c>
      <c r="AR18" s="4">
        <v>0</v>
      </c>
      <c r="AS18" s="4">
        <f>15765.28-100</f>
        <v>15665.28</v>
      </c>
      <c r="AT18" s="4">
        <f t="shared" si="10"/>
        <v>440645.86000000004</v>
      </c>
      <c r="AU18" s="11">
        <v>100</v>
      </c>
      <c r="AV18" s="11">
        <v>0</v>
      </c>
      <c r="AW18" s="11">
        <v>100</v>
      </c>
      <c r="AX18" s="11">
        <f>SUM(AU18:AW18)</f>
        <v>200</v>
      </c>
      <c r="AY18" s="11">
        <f t="shared" si="11"/>
        <v>50018615.374999985</v>
      </c>
    </row>
    <row r="19" spans="1:51">
      <c r="A19" s="1" t="s">
        <v>56</v>
      </c>
      <c r="B19" s="1" t="s">
        <v>57</v>
      </c>
      <c r="C19" s="11">
        <v>7754639.4000000004</v>
      </c>
      <c r="D19" s="11">
        <v>133407.1</v>
      </c>
      <c r="E19" s="11">
        <v>1054198.9099999999</v>
      </c>
      <c r="F19" s="11">
        <f t="shared" si="0"/>
        <v>8942245.4100000001</v>
      </c>
      <c r="G19" s="11">
        <v>7754639.4000000004</v>
      </c>
      <c r="H19" s="11">
        <v>133407.1</v>
      </c>
      <c r="I19" s="11">
        <v>1054198.9099999999</v>
      </c>
      <c r="J19" s="11">
        <f t="shared" si="1"/>
        <v>8942245.4100000001</v>
      </c>
      <c r="K19" s="11">
        <v>7754639.4000000004</v>
      </c>
      <c r="L19" s="11">
        <v>133407.1</v>
      </c>
      <c r="M19" s="11">
        <v>1054198.9099999999</v>
      </c>
      <c r="N19" s="11">
        <f t="shared" si="2"/>
        <v>8942245.4100000001</v>
      </c>
      <c r="O19" s="11">
        <v>7899754.9100000001</v>
      </c>
      <c r="P19" s="11">
        <v>129875.29</v>
      </c>
      <c r="Q19" s="11">
        <v>1019084.45</v>
      </c>
      <c r="R19" s="11">
        <f t="shared" si="3"/>
        <v>9048714.6500000004</v>
      </c>
      <c r="S19" s="11">
        <v>8295609.0999999996</v>
      </c>
      <c r="T19" s="11">
        <v>134686.1</v>
      </c>
      <c r="U19" s="11">
        <v>1057972.3400000001</v>
      </c>
      <c r="V19" s="4">
        <f t="shared" si="4"/>
        <v>9488267.5399999991</v>
      </c>
      <c r="W19" s="11">
        <v>8295609.0999999996</v>
      </c>
      <c r="X19" s="11">
        <v>134686.1</v>
      </c>
      <c r="Y19" s="11">
        <v>1057972.3400000001</v>
      </c>
      <c r="Z19" s="4">
        <f t="shared" si="5"/>
        <v>9488267.5399999991</v>
      </c>
      <c r="AA19" s="11">
        <v>8295609.0999999996</v>
      </c>
      <c r="AB19" s="11">
        <v>134686.1</v>
      </c>
      <c r="AC19" s="11">
        <v>1057972.3400000001</v>
      </c>
      <c r="AD19" s="4">
        <f t="shared" si="6"/>
        <v>9488267.5399999991</v>
      </c>
      <c r="AE19" s="11">
        <v>8295609.0999999996</v>
      </c>
      <c r="AF19" s="11">
        <v>134686.1</v>
      </c>
      <c r="AG19" s="11">
        <v>1057972.3400000001</v>
      </c>
      <c r="AH19" s="4">
        <f t="shared" si="7"/>
        <v>9488267.5399999991</v>
      </c>
      <c r="AI19" s="11">
        <v>8295609.0999999996</v>
      </c>
      <c r="AJ19" s="11">
        <v>134686.1</v>
      </c>
      <c r="AK19" s="11">
        <v>1057972.3400000001</v>
      </c>
      <c r="AL19" s="4">
        <f t="shared" si="8"/>
        <v>9488267.5399999991</v>
      </c>
      <c r="AM19" s="11">
        <v>8295609.0999999996</v>
      </c>
      <c r="AN19" s="11">
        <v>134686.1</v>
      </c>
      <c r="AO19" s="11">
        <v>1057972.3400000001</v>
      </c>
      <c r="AP19" s="4">
        <f t="shared" si="9"/>
        <v>9488267.5399999991</v>
      </c>
      <c r="AQ19" s="4">
        <f>359435.97-100</f>
        <v>359335.97</v>
      </c>
      <c r="AR19" s="4">
        <f>4219.53-100</f>
        <v>4119.53</v>
      </c>
      <c r="AS19" s="4">
        <f>34243.37-100</f>
        <v>34143.370000000003</v>
      </c>
      <c r="AT19" s="4">
        <f t="shared" si="10"/>
        <v>397598.87</v>
      </c>
      <c r="AU19" s="11">
        <v>100</v>
      </c>
      <c r="AV19" s="11">
        <v>100</v>
      </c>
      <c r="AW19" s="11">
        <v>100</v>
      </c>
      <c r="AX19" s="11">
        <f>SUM(AU19:AW19)</f>
        <v>300</v>
      </c>
      <c r="AY19" s="11">
        <f t="shared" si="11"/>
        <v>93202954.98999998</v>
      </c>
    </row>
    <row r="20" spans="1:51" ht="15.75" customHeight="1">
      <c r="A20" s="1" t="s">
        <v>58</v>
      </c>
      <c r="B20" s="1" t="s">
        <v>59</v>
      </c>
      <c r="C20" s="11">
        <v>12404569.67</v>
      </c>
      <c r="D20" s="11">
        <v>106636.98</v>
      </c>
      <c r="E20" s="11">
        <v>1910493.76</v>
      </c>
      <c r="F20" s="11">
        <f t="shared" si="0"/>
        <v>14421700.41</v>
      </c>
      <c r="G20" s="11">
        <v>12404569.67</v>
      </c>
      <c r="H20" s="11">
        <v>106636.98</v>
      </c>
      <c r="I20" s="11">
        <v>1910493.76</v>
      </c>
      <c r="J20" s="11">
        <f t="shared" si="1"/>
        <v>14421700.41</v>
      </c>
      <c r="K20" s="11">
        <v>12404569.67</v>
      </c>
      <c r="L20" s="11">
        <v>106636.98</v>
      </c>
      <c r="M20" s="11">
        <v>1910493.76</v>
      </c>
      <c r="N20" s="11">
        <f t="shared" si="2"/>
        <v>14421700.41</v>
      </c>
      <c r="O20" s="11">
        <v>11205714.369999999</v>
      </c>
      <c r="P20" s="11">
        <v>103601.9</v>
      </c>
      <c r="Q20" s="11">
        <v>1838088.31</v>
      </c>
      <c r="R20" s="11">
        <f t="shared" si="3"/>
        <v>13147404.579999998</v>
      </c>
      <c r="S20" s="11">
        <v>11319534.529999999</v>
      </c>
      <c r="T20" s="11">
        <v>107555.31</v>
      </c>
      <c r="U20" s="11">
        <v>1908229.1</v>
      </c>
      <c r="V20" s="4">
        <f t="shared" si="4"/>
        <v>13335318.939999999</v>
      </c>
      <c r="W20" s="11">
        <v>11319534.529999999</v>
      </c>
      <c r="X20" s="11">
        <v>107555.31</v>
      </c>
      <c r="Y20" s="11">
        <v>1908229.1</v>
      </c>
      <c r="Z20" s="4">
        <f t="shared" si="5"/>
        <v>13335318.939999999</v>
      </c>
      <c r="AA20" s="11">
        <v>11319534.529999999</v>
      </c>
      <c r="AB20" s="11">
        <v>107555.31</v>
      </c>
      <c r="AC20" s="11">
        <v>1908229.1</v>
      </c>
      <c r="AD20" s="4">
        <f t="shared" si="6"/>
        <v>13335318.939999999</v>
      </c>
      <c r="AE20" s="11">
        <v>11319534.529999999</v>
      </c>
      <c r="AF20" s="11">
        <v>107555.31</v>
      </c>
      <c r="AG20" s="11">
        <v>1908229.1</v>
      </c>
      <c r="AH20" s="4">
        <f t="shared" si="7"/>
        <v>13335318.939999999</v>
      </c>
      <c r="AI20" s="11">
        <v>11319534.529999999</v>
      </c>
      <c r="AJ20" s="11">
        <v>107555.31</v>
      </c>
      <c r="AK20" s="11">
        <v>1908229.1</v>
      </c>
      <c r="AL20" s="4">
        <f t="shared" si="8"/>
        <v>13335318.939999999</v>
      </c>
      <c r="AM20" s="11">
        <v>11319534.529999999</v>
      </c>
      <c r="AN20" s="11">
        <v>107555.31</v>
      </c>
      <c r="AO20" s="11">
        <v>1908229.1</v>
      </c>
      <c r="AP20" s="4">
        <f t="shared" si="9"/>
        <v>13335318.939999999</v>
      </c>
      <c r="AQ20" s="4">
        <f>64126.74-100</f>
        <v>64026.74</v>
      </c>
      <c r="AR20" s="4">
        <f>3481.24-100</f>
        <v>3381.24</v>
      </c>
      <c r="AS20" s="4">
        <f>61763.56-100</f>
        <v>61663.56</v>
      </c>
      <c r="AT20" s="4">
        <f t="shared" si="10"/>
        <v>129071.54</v>
      </c>
      <c r="AU20" s="11">
        <v>100</v>
      </c>
      <c r="AV20" s="11">
        <v>100</v>
      </c>
      <c r="AW20" s="11">
        <v>100</v>
      </c>
      <c r="AX20" s="11">
        <f>SUM(AU20:AW20)</f>
        <v>300</v>
      </c>
      <c r="AY20" s="11">
        <f t="shared" si="11"/>
        <v>136553790.98999998</v>
      </c>
    </row>
    <row r="21" spans="1:51">
      <c r="A21" s="1" t="s">
        <v>60</v>
      </c>
      <c r="B21" s="1" t="s">
        <v>61</v>
      </c>
      <c r="C21" s="11">
        <v>1218889.44</v>
      </c>
      <c r="D21" s="11">
        <v>0</v>
      </c>
      <c r="E21" s="11">
        <v>241372.24</v>
      </c>
      <c r="F21" s="11">
        <f t="shared" si="0"/>
        <v>1460261.68</v>
      </c>
      <c r="G21" s="11">
        <v>1218889.44</v>
      </c>
      <c r="H21" s="11">
        <v>0</v>
      </c>
      <c r="I21" s="11">
        <v>241372.24</v>
      </c>
      <c r="J21" s="11">
        <f t="shared" si="1"/>
        <v>1460261.68</v>
      </c>
      <c r="K21" s="11">
        <v>1218889.44</v>
      </c>
      <c r="L21" s="11">
        <v>0</v>
      </c>
      <c r="M21" s="11">
        <v>241372.24</v>
      </c>
      <c r="N21" s="11">
        <f t="shared" si="2"/>
        <v>1460261.68</v>
      </c>
      <c r="O21" s="11">
        <v>1250768.78</v>
      </c>
      <c r="P21" s="11">
        <v>0</v>
      </c>
      <c r="Q21" s="11">
        <v>225429.95</v>
      </c>
      <c r="R21" s="11">
        <f t="shared" si="3"/>
        <v>1476198.73</v>
      </c>
      <c r="S21" s="11">
        <v>1298497.67</v>
      </c>
      <c r="T21" s="11">
        <v>0</v>
      </c>
      <c r="U21" s="11">
        <v>234032.28</v>
      </c>
      <c r="V21" s="4">
        <f t="shared" si="4"/>
        <v>1532529.95</v>
      </c>
      <c r="W21" s="11">
        <v>1298497.67</v>
      </c>
      <c r="X21" s="11">
        <v>0</v>
      </c>
      <c r="Y21" s="11">
        <v>234032.28</v>
      </c>
      <c r="Z21" s="4">
        <f t="shared" si="5"/>
        <v>1532529.95</v>
      </c>
      <c r="AA21" s="11">
        <v>1298497.67</v>
      </c>
      <c r="AB21" s="11">
        <v>0</v>
      </c>
      <c r="AC21" s="11">
        <v>234032.28</v>
      </c>
      <c r="AD21" s="4">
        <f t="shared" si="6"/>
        <v>1532529.95</v>
      </c>
      <c r="AE21" s="11">
        <v>1298497.67</v>
      </c>
      <c r="AF21" s="11">
        <v>0</v>
      </c>
      <c r="AG21" s="11">
        <v>234032.28</v>
      </c>
      <c r="AH21" s="4">
        <f t="shared" si="7"/>
        <v>1532529.95</v>
      </c>
      <c r="AI21" s="11">
        <v>1298497.67</v>
      </c>
      <c r="AJ21" s="11">
        <v>0</v>
      </c>
      <c r="AK21" s="11">
        <v>234032.28</v>
      </c>
      <c r="AL21" s="4">
        <f t="shared" si="8"/>
        <v>1532529.95</v>
      </c>
      <c r="AM21" s="11">
        <v>1298497.67</v>
      </c>
      <c r="AN21" s="11">
        <v>0</v>
      </c>
      <c r="AO21" s="11">
        <v>234032.28</v>
      </c>
      <c r="AP21" s="4">
        <f t="shared" si="9"/>
        <v>1532529.95</v>
      </c>
      <c r="AQ21" s="4">
        <f>42028.4-100</f>
        <v>41928.400000000001</v>
      </c>
      <c r="AR21" s="4">
        <v>0</v>
      </c>
      <c r="AS21" s="4">
        <f>7574.87-100</f>
        <v>7474.87</v>
      </c>
      <c r="AT21" s="4">
        <f t="shared" si="10"/>
        <v>49403.270000000004</v>
      </c>
      <c r="AU21" s="11">
        <v>100</v>
      </c>
      <c r="AV21" s="11">
        <v>0</v>
      </c>
      <c r="AW21" s="11">
        <v>100</v>
      </c>
      <c r="AX21" s="11">
        <f>SUM(AU21:AW21)</f>
        <v>200</v>
      </c>
      <c r="AY21" s="11">
        <f t="shared" si="11"/>
        <v>15101766.739999996</v>
      </c>
    </row>
    <row r="22" spans="1:51">
      <c r="A22" s="1" t="s">
        <v>62</v>
      </c>
      <c r="B22" s="1" t="s">
        <v>63</v>
      </c>
      <c r="C22" s="11">
        <v>3276663.79</v>
      </c>
      <c r="D22" s="11">
        <v>102991.46</v>
      </c>
      <c r="E22" s="11">
        <v>1471699.09</v>
      </c>
      <c r="F22" s="11">
        <f t="shared" si="0"/>
        <v>4851354.34</v>
      </c>
      <c r="G22" s="11">
        <v>3276663.79</v>
      </c>
      <c r="H22" s="11">
        <v>102991.46</v>
      </c>
      <c r="I22" s="11">
        <v>1471699.09</v>
      </c>
      <c r="J22" s="11">
        <f t="shared" si="1"/>
        <v>4851354.34</v>
      </c>
      <c r="K22" s="11">
        <v>3276663.79</v>
      </c>
      <c r="L22" s="11">
        <v>102991.46</v>
      </c>
      <c r="M22" s="11">
        <v>1471699.09</v>
      </c>
      <c r="N22" s="11">
        <f t="shared" si="2"/>
        <v>4851354.34</v>
      </c>
      <c r="O22" s="11">
        <v>3305457.7</v>
      </c>
      <c r="P22" s="11">
        <v>100201.18</v>
      </c>
      <c r="Q22" s="11">
        <v>1399869.29</v>
      </c>
      <c r="R22" s="11">
        <f t="shared" si="3"/>
        <v>4805528.17</v>
      </c>
      <c r="S22" s="11">
        <v>3431592.77</v>
      </c>
      <c r="T22" s="11">
        <v>104122.98</v>
      </c>
      <c r="U22" s="11">
        <v>1453287.8</v>
      </c>
      <c r="V22" s="4">
        <f t="shared" si="4"/>
        <v>4989003.55</v>
      </c>
      <c r="W22" s="11">
        <v>3431592.77</v>
      </c>
      <c r="X22" s="11">
        <v>104122.98</v>
      </c>
      <c r="Y22" s="11">
        <v>1453287.8</v>
      </c>
      <c r="Z22" s="4">
        <f t="shared" si="5"/>
        <v>4989003.55</v>
      </c>
      <c r="AA22" s="11">
        <v>3431592.77</v>
      </c>
      <c r="AB22" s="11">
        <v>104122.98</v>
      </c>
      <c r="AC22" s="11">
        <v>1453287.8</v>
      </c>
      <c r="AD22" s="4">
        <f t="shared" si="6"/>
        <v>4989003.55</v>
      </c>
      <c r="AE22" s="11">
        <v>3431592.77</v>
      </c>
      <c r="AF22" s="11">
        <v>104122.98</v>
      </c>
      <c r="AG22" s="11">
        <v>1453287.8</v>
      </c>
      <c r="AH22" s="4">
        <f t="shared" si="7"/>
        <v>4989003.55</v>
      </c>
      <c r="AI22" s="11">
        <v>3431592.77</v>
      </c>
      <c r="AJ22" s="11">
        <v>104122.98</v>
      </c>
      <c r="AK22" s="11">
        <v>1453287.8</v>
      </c>
      <c r="AL22" s="4">
        <f t="shared" si="8"/>
        <v>4989003.55</v>
      </c>
      <c r="AM22" s="11">
        <v>3431592.77</v>
      </c>
      <c r="AN22" s="11">
        <v>104122.98</v>
      </c>
      <c r="AO22" s="11">
        <v>1453287.8</v>
      </c>
      <c r="AP22" s="4">
        <f t="shared" si="9"/>
        <v>4989003.55</v>
      </c>
      <c r="AQ22" s="4">
        <f>111070.17-100</f>
        <v>110970.17</v>
      </c>
      <c r="AR22" s="4">
        <f>3464.67-100</f>
        <v>3364.67</v>
      </c>
      <c r="AS22" s="4">
        <f>47038.48-100</f>
        <v>46938.48</v>
      </c>
      <c r="AT22" s="4">
        <f t="shared" si="10"/>
        <v>161273.32</v>
      </c>
      <c r="AU22" s="11">
        <v>100</v>
      </c>
      <c r="AV22" s="11">
        <v>100</v>
      </c>
      <c r="AW22" s="11">
        <v>100</v>
      </c>
      <c r="AX22" s="11">
        <f>SUM(AU22:AW22)</f>
        <v>300</v>
      </c>
      <c r="AY22" s="11">
        <f t="shared" si="11"/>
        <v>49455185.809999987</v>
      </c>
    </row>
    <row r="23" spans="1:51">
      <c r="A23" s="1" t="s">
        <v>64</v>
      </c>
      <c r="B23" s="1" t="s">
        <v>65</v>
      </c>
      <c r="C23" s="11">
        <v>2956441.94</v>
      </c>
      <c r="D23" s="11">
        <v>889426.71</v>
      </c>
      <c r="E23" s="11">
        <v>946156.61</v>
      </c>
      <c r="F23" s="11">
        <f t="shared" si="0"/>
        <v>4792025.26</v>
      </c>
      <c r="G23" s="11">
        <v>2956441.94</v>
      </c>
      <c r="H23" s="11">
        <v>889426.71</v>
      </c>
      <c r="I23" s="11">
        <v>946156.61</v>
      </c>
      <c r="J23" s="11">
        <f t="shared" si="1"/>
        <v>4792025.26</v>
      </c>
      <c r="K23" s="11">
        <v>2956441.94</v>
      </c>
      <c r="L23" s="11">
        <v>889426.71</v>
      </c>
      <c r="M23" s="11">
        <v>946156.61</v>
      </c>
      <c r="N23" s="11">
        <f t="shared" si="2"/>
        <v>4792025.26</v>
      </c>
      <c r="O23" s="11">
        <v>2800022.37</v>
      </c>
      <c r="P23" s="11">
        <v>863712.9</v>
      </c>
      <c r="Q23" s="11">
        <v>910521.41</v>
      </c>
      <c r="R23" s="11">
        <f t="shared" si="3"/>
        <v>4574256.68</v>
      </c>
      <c r="S23" s="11">
        <v>2842842.24</v>
      </c>
      <c r="T23" s="11">
        <v>1024729.33</v>
      </c>
      <c r="U23" s="11">
        <v>1025258.17</v>
      </c>
      <c r="V23" s="4">
        <f t="shared" si="4"/>
        <v>4892829.74</v>
      </c>
      <c r="W23" s="11">
        <v>2842842.24</v>
      </c>
      <c r="X23" s="11">
        <v>1024729.33</v>
      </c>
      <c r="Y23" s="11">
        <v>1025258.17</v>
      </c>
      <c r="Z23" s="4">
        <f t="shared" si="5"/>
        <v>4892829.74</v>
      </c>
      <c r="AA23" s="11">
        <v>2842842.24</v>
      </c>
      <c r="AB23" s="11">
        <v>1024729.33</v>
      </c>
      <c r="AC23" s="11">
        <v>1025258.17</v>
      </c>
      <c r="AD23" s="4">
        <f t="shared" si="6"/>
        <v>4892829.74</v>
      </c>
      <c r="AE23" s="11">
        <v>2842842.24</v>
      </c>
      <c r="AF23" s="11">
        <v>1024729.33</v>
      </c>
      <c r="AG23" s="11">
        <v>1025258.17</v>
      </c>
      <c r="AH23" s="4">
        <f t="shared" si="7"/>
        <v>4892829.74</v>
      </c>
      <c r="AI23" s="11">
        <v>2842842.24</v>
      </c>
      <c r="AJ23" s="11">
        <v>1024729.33</v>
      </c>
      <c r="AK23" s="11">
        <v>1025258.17</v>
      </c>
      <c r="AL23" s="4">
        <f t="shared" si="8"/>
        <v>4892829.74</v>
      </c>
      <c r="AM23" s="11">
        <v>2842842.24</v>
      </c>
      <c r="AN23" s="11">
        <v>1024729.33</v>
      </c>
      <c r="AO23" s="11">
        <v>1025258.17</v>
      </c>
      <c r="AP23" s="4">
        <f t="shared" si="9"/>
        <v>4892829.74</v>
      </c>
      <c r="AQ23" s="4">
        <f>47514.24-100</f>
        <v>47414.239999999998</v>
      </c>
      <c r="AR23" s="4">
        <f>162708.56-100</f>
        <v>162608.56</v>
      </c>
      <c r="AS23" s="4">
        <f>116429.73-100</f>
        <v>116329.73</v>
      </c>
      <c r="AT23" s="4">
        <f t="shared" si="10"/>
        <v>326352.52999999997</v>
      </c>
      <c r="AU23" s="11">
        <v>100</v>
      </c>
      <c r="AV23" s="11">
        <v>100</v>
      </c>
      <c r="AW23" s="11">
        <v>100</v>
      </c>
      <c r="AX23" s="11">
        <f>SUM(AU23:AW23)</f>
        <v>300</v>
      </c>
      <c r="AY23" s="11">
        <f t="shared" si="11"/>
        <v>48633963.430000015</v>
      </c>
    </row>
    <row r="24" spans="1:51">
      <c r="A24" s="1" t="s">
        <v>66</v>
      </c>
      <c r="B24" s="1" t="s">
        <v>67</v>
      </c>
      <c r="C24" s="11">
        <v>1062642.44</v>
      </c>
      <c r="D24" s="11">
        <v>0</v>
      </c>
      <c r="E24" s="11">
        <v>0</v>
      </c>
      <c r="F24" s="11">
        <f t="shared" si="0"/>
        <v>1062642.44</v>
      </c>
      <c r="G24" s="11">
        <v>1062642.44</v>
      </c>
      <c r="H24" s="11">
        <v>0</v>
      </c>
      <c r="I24" s="11">
        <v>0</v>
      </c>
      <c r="J24" s="11">
        <f t="shared" si="1"/>
        <v>1062642.44</v>
      </c>
      <c r="K24" s="11">
        <v>1062642.44</v>
      </c>
      <c r="L24" s="11">
        <v>0</v>
      </c>
      <c r="M24" s="11">
        <v>0</v>
      </c>
      <c r="N24" s="11">
        <f t="shared" si="2"/>
        <v>1062642.44</v>
      </c>
      <c r="O24" s="11">
        <v>1137227.6299999999</v>
      </c>
      <c r="P24" s="11">
        <v>0</v>
      </c>
      <c r="Q24" s="11">
        <v>0</v>
      </c>
      <c r="R24" s="11">
        <f t="shared" si="3"/>
        <v>1137227.6299999999</v>
      </c>
      <c r="S24" s="11">
        <v>2145556.77</v>
      </c>
      <c r="T24" s="11">
        <v>0</v>
      </c>
      <c r="U24" s="11">
        <v>0</v>
      </c>
      <c r="V24" s="4">
        <f t="shared" si="4"/>
        <v>2145556.77</v>
      </c>
      <c r="W24" s="11">
        <v>2145556.77</v>
      </c>
      <c r="X24" s="11">
        <v>0</v>
      </c>
      <c r="Y24" s="11">
        <v>0</v>
      </c>
      <c r="Z24" s="4">
        <f t="shared" si="5"/>
        <v>2145556.77</v>
      </c>
      <c r="AA24" s="11">
        <v>2145556.77</v>
      </c>
      <c r="AB24" s="11">
        <v>0</v>
      </c>
      <c r="AC24" s="11">
        <v>0</v>
      </c>
      <c r="AD24" s="4">
        <f t="shared" si="6"/>
        <v>2145556.77</v>
      </c>
      <c r="AE24" s="11">
        <v>2145556.77</v>
      </c>
      <c r="AF24" s="11">
        <v>0</v>
      </c>
      <c r="AG24" s="11">
        <v>0</v>
      </c>
      <c r="AH24" s="4">
        <f t="shared" si="7"/>
        <v>2145556.77</v>
      </c>
      <c r="AI24" s="11">
        <v>2145556.77</v>
      </c>
      <c r="AJ24" s="11">
        <v>0</v>
      </c>
      <c r="AK24" s="11">
        <v>0</v>
      </c>
      <c r="AL24" s="4">
        <f t="shared" si="8"/>
        <v>2145556.77</v>
      </c>
      <c r="AM24" s="11">
        <v>2145556.77</v>
      </c>
      <c r="AN24" s="11">
        <v>0</v>
      </c>
      <c r="AO24" s="11">
        <v>0</v>
      </c>
      <c r="AP24" s="4">
        <f t="shared" si="9"/>
        <v>2145556.77</v>
      </c>
      <c r="AQ24" s="4">
        <f>998910.01-100</f>
        <v>998810.01</v>
      </c>
      <c r="AR24" s="4">
        <v>0</v>
      </c>
      <c r="AS24" s="4">
        <v>0</v>
      </c>
      <c r="AT24" s="4">
        <f t="shared" si="10"/>
        <v>998810.01</v>
      </c>
      <c r="AU24" s="11">
        <v>100</v>
      </c>
      <c r="AV24" s="11">
        <v>0</v>
      </c>
      <c r="AW24" s="11">
        <v>0</v>
      </c>
      <c r="AX24" s="11">
        <f>SUM(AU24:AW24)</f>
        <v>100</v>
      </c>
      <c r="AY24" s="11">
        <f t="shared" si="11"/>
        <v>18197405.579999998</v>
      </c>
    </row>
    <row r="25" spans="1:51">
      <c r="A25" s="1" t="s">
        <v>68</v>
      </c>
      <c r="B25" s="1" t="s">
        <v>69</v>
      </c>
      <c r="C25" s="11">
        <v>2050078.31</v>
      </c>
      <c r="D25" s="11">
        <v>0</v>
      </c>
      <c r="E25" s="11">
        <v>714421.33</v>
      </c>
      <c r="F25" s="11">
        <f t="shared" si="0"/>
        <v>2764499.64</v>
      </c>
      <c r="G25" s="11">
        <v>2050078.31</v>
      </c>
      <c r="H25" s="11">
        <v>0</v>
      </c>
      <c r="I25" s="11">
        <v>714421.33</v>
      </c>
      <c r="J25" s="11">
        <f t="shared" si="1"/>
        <v>2764499.64</v>
      </c>
      <c r="K25" s="11">
        <v>2050078.31</v>
      </c>
      <c r="L25" s="11">
        <v>0</v>
      </c>
      <c r="M25" s="11">
        <v>714421.33</v>
      </c>
      <c r="N25" s="11">
        <f t="shared" si="2"/>
        <v>2764499.64</v>
      </c>
      <c r="O25" s="11">
        <v>1850200.46</v>
      </c>
      <c r="P25" s="11">
        <v>0</v>
      </c>
      <c r="Q25" s="11">
        <v>697347.33</v>
      </c>
      <c r="R25" s="11">
        <f t="shared" si="3"/>
        <v>2547547.79</v>
      </c>
      <c r="S25" s="11">
        <v>1987038.05</v>
      </c>
      <c r="T25" s="11">
        <v>0</v>
      </c>
      <c r="U25" s="11">
        <v>723957.85</v>
      </c>
      <c r="V25" s="4">
        <f t="shared" si="4"/>
        <v>2710995.9</v>
      </c>
      <c r="W25" s="11">
        <v>1987038.05</v>
      </c>
      <c r="X25" s="11">
        <v>0</v>
      </c>
      <c r="Y25" s="11">
        <v>723957.85</v>
      </c>
      <c r="Z25" s="4">
        <f t="shared" si="5"/>
        <v>2710995.9</v>
      </c>
      <c r="AA25" s="11">
        <v>1987038.05</v>
      </c>
      <c r="AB25" s="11">
        <v>0</v>
      </c>
      <c r="AC25" s="11">
        <v>723957.85</v>
      </c>
      <c r="AD25" s="4">
        <f t="shared" si="6"/>
        <v>2710995.9</v>
      </c>
      <c r="AE25" s="11">
        <v>1987038.05</v>
      </c>
      <c r="AF25" s="11">
        <v>0</v>
      </c>
      <c r="AG25" s="11">
        <v>723957.85</v>
      </c>
      <c r="AH25" s="4">
        <f t="shared" si="7"/>
        <v>2710995.9</v>
      </c>
      <c r="AI25" s="11">
        <v>1987038.05</v>
      </c>
      <c r="AJ25" s="11">
        <v>0</v>
      </c>
      <c r="AK25" s="11">
        <v>723957.85</v>
      </c>
      <c r="AL25" s="4">
        <f t="shared" si="8"/>
        <v>2710995.9</v>
      </c>
      <c r="AM25" s="11">
        <v>1987038.05</v>
      </c>
      <c r="AN25" s="11">
        <v>0</v>
      </c>
      <c r="AO25" s="11">
        <v>723957.85</v>
      </c>
      <c r="AP25" s="4">
        <f t="shared" si="9"/>
        <v>2710995.9</v>
      </c>
      <c r="AQ25" s="4">
        <f>128114.38-100</f>
        <v>128014.38</v>
      </c>
      <c r="AR25" s="4">
        <v>0</v>
      </c>
      <c r="AS25" s="4">
        <f>23432.3-100</f>
        <v>23332.3</v>
      </c>
      <c r="AT25" s="4">
        <f t="shared" si="10"/>
        <v>151346.68</v>
      </c>
      <c r="AU25" s="11">
        <v>100</v>
      </c>
      <c r="AV25" s="11">
        <v>0</v>
      </c>
      <c r="AW25" s="11">
        <v>100</v>
      </c>
      <c r="AX25" s="11">
        <f>SUM(AU25:AW25)</f>
        <v>200</v>
      </c>
      <c r="AY25" s="11">
        <f t="shared" si="11"/>
        <v>27258568.789999995</v>
      </c>
    </row>
    <row r="26" spans="1:51">
      <c r="A26" s="1" t="s">
        <v>70</v>
      </c>
      <c r="B26" s="1" t="s">
        <v>71</v>
      </c>
      <c r="C26" s="11">
        <v>0</v>
      </c>
      <c r="D26" s="11">
        <v>1452224.29</v>
      </c>
      <c r="E26" s="11">
        <v>361276.45</v>
      </c>
      <c r="F26" s="11">
        <f t="shared" si="0"/>
        <v>1813500.74</v>
      </c>
      <c r="G26" s="11">
        <v>0</v>
      </c>
      <c r="H26" s="11">
        <v>2103858.85</v>
      </c>
      <c r="I26" s="11">
        <v>361276.45</v>
      </c>
      <c r="J26" s="11">
        <f t="shared" si="1"/>
        <v>2465135.3000000003</v>
      </c>
      <c r="K26" s="11">
        <v>0</v>
      </c>
      <c r="L26" s="11">
        <v>2103858.85</v>
      </c>
      <c r="M26" s="11">
        <v>361276.45</v>
      </c>
      <c r="N26" s="11">
        <f t="shared" si="2"/>
        <v>2465135.3000000003</v>
      </c>
      <c r="O26" s="11">
        <v>0</v>
      </c>
      <c r="P26" s="11">
        <v>1834100.36</v>
      </c>
      <c r="Q26" s="11">
        <v>333810.38</v>
      </c>
      <c r="R26" s="11">
        <f t="shared" si="3"/>
        <v>2167910.7400000002</v>
      </c>
      <c r="S26" s="11">
        <v>0</v>
      </c>
      <c r="T26" s="11">
        <v>1903970.74</v>
      </c>
      <c r="U26" s="11">
        <v>346548.47</v>
      </c>
      <c r="V26" s="4">
        <f t="shared" si="4"/>
        <v>2250519.21</v>
      </c>
      <c r="W26" s="11">
        <v>0</v>
      </c>
      <c r="X26" s="11">
        <v>1903970.74</v>
      </c>
      <c r="Y26" s="11">
        <v>346548.47</v>
      </c>
      <c r="Z26" s="4">
        <f t="shared" si="5"/>
        <v>2250519.21</v>
      </c>
      <c r="AA26" s="11">
        <v>0</v>
      </c>
      <c r="AB26" s="11">
        <v>1903970.74</v>
      </c>
      <c r="AC26" s="11">
        <v>346548.47</v>
      </c>
      <c r="AD26" s="4">
        <f t="shared" si="6"/>
        <v>2250519.21</v>
      </c>
      <c r="AE26" s="11">
        <v>0</v>
      </c>
      <c r="AF26" s="11">
        <v>1903970.74</v>
      </c>
      <c r="AG26" s="11">
        <v>346548.47</v>
      </c>
      <c r="AH26" s="4">
        <f t="shared" si="7"/>
        <v>2250519.21</v>
      </c>
      <c r="AI26" s="11">
        <v>0</v>
      </c>
      <c r="AJ26" s="11">
        <v>1903970.74</v>
      </c>
      <c r="AK26" s="11">
        <v>346548.47</v>
      </c>
      <c r="AL26" s="4">
        <f t="shared" si="8"/>
        <v>2250519.21</v>
      </c>
      <c r="AM26" s="11">
        <v>0</v>
      </c>
      <c r="AN26" s="11">
        <v>1903970.74</v>
      </c>
      <c r="AO26" s="11">
        <v>346548.47</v>
      </c>
      <c r="AP26" s="4">
        <f t="shared" si="9"/>
        <v>2250519.21</v>
      </c>
      <c r="AQ26" s="4">
        <v>0</v>
      </c>
      <c r="AR26" s="4">
        <f>61511.83-100</f>
        <v>61411.83</v>
      </c>
      <c r="AS26" s="4">
        <f>11216.68-100</f>
        <v>11116.68</v>
      </c>
      <c r="AT26" s="4">
        <f t="shared" si="10"/>
        <v>72528.510000000009</v>
      </c>
      <c r="AU26" s="11">
        <v>0</v>
      </c>
      <c r="AV26" s="11">
        <v>100</v>
      </c>
      <c r="AW26" s="11">
        <v>100</v>
      </c>
      <c r="AX26" s="11">
        <f>SUM(AU26:AW26)</f>
        <v>200</v>
      </c>
      <c r="AY26" s="11">
        <f t="shared" si="11"/>
        <v>22487525.850000005</v>
      </c>
    </row>
    <row r="27" spans="1:51">
      <c r="A27" s="1" t="s">
        <v>72</v>
      </c>
      <c r="B27" s="1" t="s">
        <v>73</v>
      </c>
      <c r="C27" s="11">
        <v>5147086.63</v>
      </c>
      <c r="D27" s="11">
        <v>303374.78999999998</v>
      </c>
      <c r="E27" s="11">
        <v>511049.19</v>
      </c>
      <c r="F27" s="11">
        <f t="shared" si="0"/>
        <v>5961510.6099999994</v>
      </c>
      <c r="G27" s="11">
        <v>5147086.63</v>
      </c>
      <c r="H27" s="11">
        <v>303374.78999999998</v>
      </c>
      <c r="I27" s="11">
        <v>511049.19</v>
      </c>
      <c r="J27" s="11">
        <f t="shared" si="1"/>
        <v>5961510.6099999994</v>
      </c>
      <c r="K27" s="11">
        <v>5147086.63</v>
      </c>
      <c r="L27" s="11">
        <v>303374.78999999998</v>
      </c>
      <c r="M27" s="11">
        <v>511049.19</v>
      </c>
      <c r="N27" s="11">
        <f t="shared" si="2"/>
        <v>5961510.6099999994</v>
      </c>
      <c r="O27" s="11">
        <v>5114276.3899999997</v>
      </c>
      <c r="P27" s="11">
        <v>295049.83</v>
      </c>
      <c r="Q27" s="11">
        <v>489316.62</v>
      </c>
      <c r="R27" s="11">
        <f t="shared" si="3"/>
        <v>5898642.8399999999</v>
      </c>
      <c r="S27" s="11">
        <v>5309435.34</v>
      </c>
      <c r="T27" s="11">
        <v>305390.65000000002</v>
      </c>
      <c r="U27" s="11">
        <v>507988.76</v>
      </c>
      <c r="V27" s="4">
        <f t="shared" si="4"/>
        <v>6122814.75</v>
      </c>
      <c r="W27" s="11">
        <v>5309435.34</v>
      </c>
      <c r="X27" s="11">
        <v>305390.65000000002</v>
      </c>
      <c r="Y27" s="11">
        <v>507988.76</v>
      </c>
      <c r="Z27" s="4">
        <f t="shared" si="5"/>
        <v>6122814.75</v>
      </c>
      <c r="AA27" s="11">
        <v>5309435.34</v>
      </c>
      <c r="AB27" s="11">
        <v>305390.65000000002</v>
      </c>
      <c r="AC27" s="11">
        <v>507988.76</v>
      </c>
      <c r="AD27" s="4">
        <f t="shared" si="6"/>
        <v>6122814.75</v>
      </c>
      <c r="AE27" s="11">
        <v>5309435.34</v>
      </c>
      <c r="AF27" s="11">
        <v>305390.65000000002</v>
      </c>
      <c r="AG27" s="11">
        <v>507988.76</v>
      </c>
      <c r="AH27" s="4">
        <f t="shared" si="7"/>
        <v>6122814.75</v>
      </c>
      <c r="AI27" s="11">
        <v>5309435.34</v>
      </c>
      <c r="AJ27" s="11">
        <v>305390.65000000002</v>
      </c>
      <c r="AK27" s="11">
        <v>507988.76</v>
      </c>
      <c r="AL27" s="4">
        <f t="shared" si="8"/>
        <v>6122814.75</v>
      </c>
      <c r="AM27" s="11">
        <v>5309435.34</v>
      </c>
      <c r="AN27" s="11">
        <v>305390.65000000002</v>
      </c>
      <c r="AO27" s="11">
        <v>507988.76</v>
      </c>
      <c r="AP27" s="4">
        <f t="shared" si="9"/>
        <v>6122814.75</v>
      </c>
      <c r="AQ27" s="4">
        <f>171850.21-100</f>
        <v>171750.21</v>
      </c>
      <c r="AR27" s="4">
        <f>9000.13-100</f>
        <v>8900.1299999999992</v>
      </c>
      <c r="AS27" s="4">
        <f>16442.04-100</f>
        <v>16342.04</v>
      </c>
      <c r="AT27" s="4">
        <f t="shared" si="10"/>
        <v>196992.38</v>
      </c>
      <c r="AU27" s="11">
        <v>100</v>
      </c>
      <c r="AV27" s="11">
        <v>100</v>
      </c>
      <c r="AW27" s="11">
        <v>100</v>
      </c>
      <c r="AX27" s="11">
        <f>SUM(AU27:AW27)</f>
        <v>300</v>
      </c>
      <c r="AY27" s="11">
        <f t="shared" si="11"/>
        <v>60717355.550000004</v>
      </c>
    </row>
    <row r="28" spans="1:51">
      <c r="A28" s="1" t="s">
        <v>74</v>
      </c>
      <c r="B28" s="1" t="s">
        <v>75</v>
      </c>
      <c r="C28" s="11">
        <v>0</v>
      </c>
      <c r="D28" s="11">
        <v>1607796.12</v>
      </c>
      <c r="E28" s="11">
        <v>77799.960000000006</v>
      </c>
      <c r="F28" s="11">
        <f t="shared" si="0"/>
        <v>1685596.08</v>
      </c>
      <c r="G28" s="11">
        <v>0</v>
      </c>
      <c r="H28" s="11">
        <v>1607796.12</v>
      </c>
      <c r="I28" s="11">
        <v>77799.960000000006</v>
      </c>
      <c r="J28" s="11">
        <f t="shared" si="1"/>
        <v>1685596.08</v>
      </c>
      <c r="K28" s="11">
        <v>0</v>
      </c>
      <c r="L28" s="11">
        <v>1607796.12</v>
      </c>
      <c r="M28" s="11">
        <v>77799.960000000006</v>
      </c>
      <c r="N28" s="11">
        <f t="shared" si="2"/>
        <v>1685596.08</v>
      </c>
      <c r="O28" s="11">
        <v>0</v>
      </c>
      <c r="P28" s="11">
        <v>1563179.54</v>
      </c>
      <c r="Q28" s="11">
        <v>76733.52</v>
      </c>
      <c r="R28" s="11">
        <f t="shared" si="3"/>
        <v>1639913.06</v>
      </c>
      <c r="S28" s="11">
        <v>0</v>
      </c>
      <c r="T28" s="11">
        <v>1671499.26</v>
      </c>
      <c r="U28" s="11">
        <v>159323.29999999999</v>
      </c>
      <c r="V28" s="4">
        <f t="shared" si="4"/>
        <v>1830822.56</v>
      </c>
      <c r="W28" s="11">
        <v>0</v>
      </c>
      <c r="X28" s="11">
        <v>1671499.26</v>
      </c>
      <c r="Y28" s="11">
        <v>159323.29999999999</v>
      </c>
      <c r="Z28" s="4">
        <f t="shared" si="5"/>
        <v>1830822.56</v>
      </c>
      <c r="AA28" s="11">
        <v>0</v>
      </c>
      <c r="AB28" s="11">
        <v>1671499.26</v>
      </c>
      <c r="AC28" s="11">
        <v>159323.29999999999</v>
      </c>
      <c r="AD28" s="4">
        <f t="shared" si="6"/>
        <v>1830822.56</v>
      </c>
      <c r="AE28" s="11">
        <v>0</v>
      </c>
      <c r="AF28" s="11">
        <v>1671499.26</v>
      </c>
      <c r="AG28" s="11">
        <v>159323.29999999999</v>
      </c>
      <c r="AH28" s="4">
        <f t="shared" si="7"/>
        <v>1830822.56</v>
      </c>
      <c r="AI28" s="11">
        <v>0</v>
      </c>
      <c r="AJ28" s="11">
        <v>1671499.26</v>
      </c>
      <c r="AK28" s="11">
        <v>159323.29999999999</v>
      </c>
      <c r="AL28" s="4">
        <f t="shared" si="8"/>
        <v>1830822.56</v>
      </c>
      <c r="AM28" s="11">
        <v>0</v>
      </c>
      <c r="AN28" s="11">
        <v>1671499.26</v>
      </c>
      <c r="AO28" s="11">
        <v>159323.29999999999</v>
      </c>
      <c r="AP28" s="4">
        <f t="shared" si="9"/>
        <v>1830822.56</v>
      </c>
      <c r="AQ28" s="4">
        <v>0</v>
      </c>
      <c r="AR28" s="4">
        <v>110871.21</v>
      </c>
      <c r="AS28" s="4">
        <v>82742.48</v>
      </c>
      <c r="AT28" s="4">
        <f t="shared" si="10"/>
        <v>193613.69</v>
      </c>
      <c r="AU28" s="11">
        <v>0</v>
      </c>
      <c r="AV28" s="11">
        <v>100</v>
      </c>
      <c r="AW28" s="11">
        <v>100</v>
      </c>
      <c r="AX28" s="11">
        <f>SUM(AU28:AW28)</f>
        <v>200</v>
      </c>
      <c r="AY28" s="11">
        <f t="shared" si="11"/>
        <v>17875450.350000005</v>
      </c>
    </row>
    <row r="29" spans="1:51">
      <c r="A29" s="1" t="s">
        <v>76</v>
      </c>
      <c r="B29" s="1" t="s">
        <v>77</v>
      </c>
      <c r="C29" s="11">
        <v>2843721.64</v>
      </c>
      <c r="D29" s="11">
        <v>0</v>
      </c>
      <c r="E29" s="11">
        <v>230488.53</v>
      </c>
      <c r="F29" s="11">
        <f t="shared" si="0"/>
        <v>3074210.17</v>
      </c>
      <c r="G29" s="11">
        <v>3239593.7</v>
      </c>
      <c r="H29" s="11">
        <v>0</v>
      </c>
      <c r="I29" s="11">
        <v>230488.53</v>
      </c>
      <c r="J29" s="11">
        <f t="shared" si="1"/>
        <v>3470082.23</v>
      </c>
      <c r="K29" s="11">
        <v>3239593.7</v>
      </c>
      <c r="L29" s="11">
        <v>0</v>
      </c>
      <c r="M29" s="11">
        <v>230488.53</v>
      </c>
      <c r="N29" s="11">
        <f t="shared" si="2"/>
        <v>3470082.23</v>
      </c>
      <c r="O29" s="11">
        <v>3358163.57</v>
      </c>
      <c r="P29" s="11">
        <v>0</v>
      </c>
      <c r="Q29" s="11">
        <v>216640.59</v>
      </c>
      <c r="R29" s="11">
        <f t="shared" si="3"/>
        <v>3574804.1599999997</v>
      </c>
      <c r="S29" s="11">
        <v>3712042.18</v>
      </c>
      <c r="T29" s="11">
        <v>0</v>
      </c>
      <c r="U29" s="11">
        <v>224907.51</v>
      </c>
      <c r="V29" s="4">
        <f t="shared" si="4"/>
        <v>3936949.6900000004</v>
      </c>
      <c r="W29" s="11">
        <v>3712042.18</v>
      </c>
      <c r="X29" s="11">
        <v>0</v>
      </c>
      <c r="Y29" s="11">
        <v>224907.51</v>
      </c>
      <c r="Z29" s="4">
        <f t="shared" si="5"/>
        <v>3936949.6900000004</v>
      </c>
      <c r="AA29" s="11">
        <v>3712042.18</v>
      </c>
      <c r="AB29" s="11">
        <v>0</v>
      </c>
      <c r="AC29" s="11">
        <v>224907.51</v>
      </c>
      <c r="AD29" s="4">
        <f t="shared" si="6"/>
        <v>3936949.6900000004</v>
      </c>
      <c r="AE29" s="11">
        <v>3712042.18</v>
      </c>
      <c r="AF29" s="11">
        <v>0</v>
      </c>
      <c r="AG29" s="11">
        <v>224907.51</v>
      </c>
      <c r="AH29" s="4">
        <f t="shared" si="7"/>
        <v>3936949.6900000004</v>
      </c>
      <c r="AI29" s="11">
        <v>3712042.18</v>
      </c>
      <c r="AJ29" s="11">
        <v>0</v>
      </c>
      <c r="AK29" s="11">
        <v>224907.51</v>
      </c>
      <c r="AL29" s="4">
        <f t="shared" si="8"/>
        <v>3936949.6900000004</v>
      </c>
      <c r="AM29" s="11">
        <v>3712042.18</v>
      </c>
      <c r="AN29" s="11">
        <v>0</v>
      </c>
      <c r="AO29" s="11">
        <v>224907.51</v>
      </c>
      <c r="AP29" s="4">
        <f t="shared" si="9"/>
        <v>3936949.6900000004</v>
      </c>
      <c r="AQ29" s="4">
        <f>337582.53-100</f>
        <v>337482.53</v>
      </c>
      <c r="AR29" s="4">
        <v>0</v>
      </c>
      <c r="AS29" s="4">
        <f>7279.59-100</f>
        <v>7179.59</v>
      </c>
      <c r="AT29" s="4">
        <f t="shared" si="10"/>
        <v>344662.12000000005</v>
      </c>
      <c r="AU29" s="11">
        <v>100</v>
      </c>
      <c r="AV29" s="11">
        <v>0</v>
      </c>
      <c r="AW29" s="11">
        <v>100</v>
      </c>
      <c r="AX29" s="11">
        <f>SUM(AU29:AW29)</f>
        <v>200</v>
      </c>
      <c r="AY29" s="11">
        <f t="shared" si="11"/>
        <v>37555739.050000004</v>
      </c>
    </row>
    <row r="30" spans="1:51">
      <c r="A30" s="1" t="s">
        <v>78</v>
      </c>
      <c r="B30" s="1" t="s">
        <v>79</v>
      </c>
      <c r="C30" s="11">
        <v>5897493.5</v>
      </c>
      <c r="D30" s="11">
        <v>665751.79</v>
      </c>
      <c r="E30" s="11">
        <v>171040.15</v>
      </c>
      <c r="F30" s="11">
        <f t="shared" si="0"/>
        <v>6734285.4400000004</v>
      </c>
      <c r="G30" s="11">
        <v>5897493.5</v>
      </c>
      <c r="H30" s="11">
        <v>665751.79</v>
      </c>
      <c r="I30" s="11">
        <v>171040.15</v>
      </c>
      <c r="J30" s="11">
        <f t="shared" si="1"/>
        <v>6734285.4400000004</v>
      </c>
      <c r="K30" s="11">
        <v>5897493.5</v>
      </c>
      <c r="L30" s="11">
        <v>665751.79</v>
      </c>
      <c r="M30" s="11">
        <v>171040.15</v>
      </c>
      <c r="N30" s="11">
        <f t="shared" si="2"/>
        <v>6734285.4400000004</v>
      </c>
      <c r="O30" s="11">
        <v>5923239.6399999997</v>
      </c>
      <c r="P30" s="11">
        <v>647299.29</v>
      </c>
      <c r="Q30" s="11">
        <v>165362.89000000001</v>
      </c>
      <c r="R30" s="11">
        <f t="shared" si="3"/>
        <v>6735901.8199999994</v>
      </c>
      <c r="S30" s="11">
        <v>6149268.3399999999</v>
      </c>
      <c r="T30" s="11">
        <v>672300</v>
      </c>
      <c r="U30" s="11">
        <v>171673.07</v>
      </c>
      <c r="V30" s="4">
        <f t="shared" si="4"/>
        <v>6993241.4100000001</v>
      </c>
      <c r="W30" s="11">
        <v>6149268.3399999999</v>
      </c>
      <c r="X30" s="11">
        <v>672300</v>
      </c>
      <c r="Y30" s="11">
        <v>171673.07</v>
      </c>
      <c r="Z30" s="4">
        <f t="shared" si="5"/>
        <v>6993241.4100000001</v>
      </c>
      <c r="AA30" s="11">
        <v>6149268.3399999999</v>
      </c>
      <c r="AB30" s="11">
        <v>672300</v>
      </c>
      <c r="AC30" s="11">
        <v>171673.07</v>
      </c>
      <c r="AD30" s="4">
        <f t="shared" si="6"/>
        <v>6993241.4100000001</v>
      </c>
      <c r="AE30" s="11">
        <v>6149268.3399999999</v>
      </c>
      <c r="AF30" s="11">
        <v>672300</v>
      </c>
      <c r="AG30" s="11">
        <v>171673.07</v>
      </c>
      <c r="AH30" s="4">
        <f t="shared" si="7"/>
        <v>6993241.4100000001</v>
      </c>
      <c r="AI30" s="11">
        <v>6149268.3399999999</v>
      </c>
      <c r="AJ30" s="11">
        <v>672300</v>
      </c>
      <c r="AK30" s="11">
        <v>171673.07</v>
      </c>
      <c r="AL30" s="4">
        <f t="shared" si="8"/>
        <v>6993241.4100000001</v>
      </c>
      <c r="AM30" s="11">
        <v>6149268.3399999999</v>
      </c>
      <c r="AN30" s="11">
        <v>672300</v>
      </c>
      <c r="AO30" s="11">
        <v>171673.07</v>
      </c>
      <c r="AP30" s="4">
        <f t="shared" si="9"/>
        <v>6993241.4100000001</v>
      </c>
      <c r="AQ30" s="4">
        <f>199033.04-100</f>
        <v>198933.04</v>
      </c>
      <c r="AR30" s="4">
        <f>22049.27-100</f>
        <v>21949.27</v>
      </c>
      <c r="AS30" s="4">
        <f>5556.55-100</f>
        <v>5456.55</v>
      </c>
      <c r="AT30" s="4">
        <f t="shared" si="10"/>
        <v>226338.86000000002</v>
      </c>
      <c r="AU30" s="11">
        <v>100</v>
      </c>
      <c r="AV30" s="11">
        <v>100</v>
      </c>
      <c r="AW30" s="11">
        <v>100</v>
      </c>
      <c r="AX30" s="11">
        <f>SUM(AU30:AW30)</f>
        <v>300</v>
      </c>
      <c r="AY30" s="11">
        <f t="shared" si="11"/>
        <v>69124845.459999979</v>
      </c>
    </row>
    <row r="31" spans="1:51">
      <c r="A31" s="1" t="s">
        <v>80</v>
      </c>
      <c r="B31" s="1" t="s">
        <v>81</v>
      </c>
      <c r="C31" s="11">
        <v>2161401.8164028777</v>
      </c>
      <c r="D31" s="11">
        <v>73587.210000000006</v>
      </c>
      <c r="E31" s="11">
        <v>98197.17</v>
      </c>
      <c r="F31" s="11">
        <f t="shared" si="0"/>
        <v>2333186.1964028776</v>
      </c>
      <c r="G31" s="11">
        <v>2161401.8164028777</v>
      </c>
      <c r="H31" s="11">
        <v>73587.210000000006</v>
      </c>
      <c r="I31" s="11">
        <v>98197.17</v>
      </c>
      <c r="J31" s="11">
        <f t="shared" si="1"/>
        <v>2333186.1964028776</v>
      </c>
      <c r="K31" s="11">
        <v>2161401.8164028777</v>
      </c>
      <c r="L31" s="11">
        <v>73587.210000000006</v>
      </c>
      <c r="M31" s="11">
        <v>98197.17</v>
      </c>
      <c r="N31" s="11">
        <f t="shared" si="2"/>
        <v>2333186.1964028776</v>
      </c>
      <c r="O31" s="11">
        <v>1826812.11</v>
      </c>
      <c r="P31" s="11">
        <v>71610.37</v>
      </c>
      <c r="Q31" s="11">
        <v>92743.47</v>
      </c>
      <c r="R31" s="11">
        <f t="shared" si="3"/>
        <v>1991165.9500000002</v>
      </c>
      <c r="S31" s="11">
        <v>1950053.48</v>
      </c>
      <c r="T31" s="11">
        <v>74343</v>
      </c>
      <c r="U31" s="11">
        <v>96282.52</v>
      </c>
      <c r="V31" s="4">
        <f t="shared" si="4"/>
        <v>2120679</v>
      </c>
      <c r="W31" s="11">
        <v>1950053.48</v>
      </c>
      <c r="X31" s="11">
        <v>74343</v>
      </c>
      <c r="Y31" s="11">
        <v>96282.52</v>
      </c>
      <c r="Z31" s="4">
        <f t="shared" si="5"/>
        <v>2120679</v>
      </c>
      <c r="AA31" s="11">
        <v>1950053.48</v>
      </c>
      <c r="AB31" s="11">
        <v>74343</v>
      </c>
      <c r="AC31" s="11">
        <v>96282.52</v>
      </c>
      <c r="AD31" s="4">
        <f t="shared" si="6"/>
        <v>2120679</v>
      </c>
      <c r="AE31" s="11">
        <v>1950053.48</v>
      </c>
      <c r="AF31" s="11">
        <v>74343</v>
      </c>
      <c r="AG31" s="11">
        <v>96282.52</v>
      </c>
      <c r="AH31" s="4">
        <f t="shared" si="7"/>
        <v>2120679</v>
      </c>
      <c r="AI31" s="11">
        <v>1950053.48</v>
      </c>
      <c r="AJ31" s="11">
        <v>74343</v>
      </c>
      <c r="AK31" s="11">
        <v>96282.52</v>
      </c>
      <c r="AL31" s="4">
        <f t="shared" si="8"/>
        <v>2120679</v>
      </c>
      <c r="AM31" s="11">
        <v>1950053.48</v>
      </c>
      <c r="AN31" s="11">
        <v>74343</v>
      </c>
      <c r="AO31" s="11">
        <v>96282.52</v>
      </c>
      <c r="AP31" s="4">
        <f t="shared" si="9"/>
        <v>2120679</v>
      </c>
      <c r="AQ31" s="4">
        <f>114680.52-100</f>
        <v>114580.52</v>
      </c>
      <c r="AR31" s="4">
        <f>2406.26-100</f>
        <v>2306.2600000000002</v>
      </c>
      <c r="AS31" s="4">
        <f>3116.37-100</f>
        <v>3016.37</v>
      </c>
      <c r="AT31" s="4">
        <f t="shared" si="10"/>
        <v>119903.15000000001</v>
      </c>
      <c r="AU31" s="11">
        <v>100</v>
      </c>
      <c r="AV31" s="11">
        <v>100</v>
      </c>
      <c r="AW31" s="11">
        <v>100</v>
      </c>
      <c r="AX31" s="11">
        <f>SUM(AU31:AW31)</f>
        <v>300</v>
      </c>
      <c r="AY31" s="11">
        <f t="shared" si="11"/>
        <v>21835001.68920863</v>
      </c>
    </row>
    <row r="32" spans="1:51">
      <c r="A32" s="1" t="s">
        <v>82</v>
      </c>
      <c r="B32" s="1" t="s">
        <v>83</v>
      </c>
      <c r="C32" s="11">
        <v>1395022.64</v>
      </c>
      <c r="D32" s="11">
        <v>1856630.3</v>
      </c>
      <c r="E32" s="11">
        <v>628500.89</v>
      </c>
      <c r="F32" s="11">
        <f t="shared" si="0"/>
        <v>3880153.83</v>
      </c>
      <c r="G32" s="11">
        <v>1738413.8199999998</v>
      </c>
      <c r="H32" s="11">
        <v>1856630.3</v>
      </c>
      <c r="I32" s="11">
        <v>628500.89</v>
      </c>
      <c r="J32" s="11">
        <f t="shared" si="1"/>
        <v>4223545.01</v>
      </c>
      <c r="K32" s="11">
        <v>1738413.8199999998</v>
      </c>
      <c r="L32" s="11">
        <v>1856630.3</v>
      </c>
      <c r="M32" s="11">
        <v>628500.89</v>
      </c>
      <c r="N32" s="11">
        <f t="shared" si="2"/>
        <v>4223545.01</v>
      </c>
      <c r="O32" s="11">
        <v>1520825.71</v>
      </c>
      <c r="P32" s="11">
        <v>1804528.2</v>
      </c>
      <c r="Q32" s="11">
        <v>601154.4</v>
      </c>
      <c r="R32" s="11">
        <f t="shared" si="3"/>
        <v>3926508.31</v>
      </c>
      <c r="S32" s="11">
        <v>1578859.87</v>
      </c>
      <c r="T32" s="11">
        <v>1836559.35</v>
      </c>
      <c r="U32" s="11">
        <v>624094.23</v>
      </c>
      <c r="V32" s="4">
        <f t="shared" si="4"/>
        <v>4039513.45</v>
      </c>
      <c r="W32" s="11">
        <v>1578859.87</v>
      </c>
      <c r="X32" s="11">
        <v>1836559.35</v>
      </c>
      <c r="Y32" s="11">
        <v>624094.23</v>
      </c>
      <c r="Z32" s="4">
        <f t="shared" si="5"/>
        <v>4039513.45</v>
      </c>
      <c r="AA32" s="11">
        <v>1578859.87</v>
      </c>
      <c r="AB32" s="11">
        <v>1836559.35</v>
      </c>
      <c r="AC32" s="11">
        <v>624094.23</v>
      </c>
      <c r="AD32" s="4">
        <f t="shared" si="6"/>
        <v>4039513.45</v>
      </c>
      <c r="AE32" s="11">
        <v>1578859.87</v>
      </c>
      <c r="AF32" s="11">
        <v>1836559.35</v>
      </c>
      <c r="AG32" s="11">
        <v>624094.23</v>
      </c>
      <c r="AH32" s="4">
        <f t="shared" si="7"/>
        <v>4039513.45</v>
      </c>
      <c r="AI32" s="11">
        <v>1578859.87</v>
      </c>
      <c r="AJ32" s="11">
        <v>1836559.35</v>
      </c>
      <c r="AK32" s="11">
        <v>624094.23</v>
      </c>
      <c r="AL32" s="4">
        <f t="shared" si="8"/>
        <v>4039513.45</v>
      </c>
      <c r="AM32" s="11">
        <v>1578859.87</v>
      </c>
      <c r="AN32" s="11">
        <v>1836559.35</v>
      </c>
      <c r="AO32" s="11">
        <v>624094.23</v>
      </c>
      <c r="AP32" s="4">
        <f t="shared" si="9"/>
        <v>4039513.45</v>
      </c>
      <c r="AQ32" s="4">
        <v>51002.87</v>
      </c>
      <c r="AR32" s="4">
        <v>23868.54</v>
      </c>
      <c r="AS32" s="4">
        <v>20100</v>
      </c>
      <c r="AT32" s="4">
        <f t="shared" si="10"/>
        <v>94971.41</v>
      </c>
      <c r="AU32" s="11">
        <v>100</v>
      </c>
      <c r="AV32" s="11">
        <v>100</v>
      </c>
      <c r="AW32" s="11">
        <v>100</v>
      </c>
      <c r="AX32" s="11">
        <f>SUM(AU32:AW32)</f>
        <v>300</v>
      </c>
      <c r="AY32" s="11">
        <f t="shared" si="11"/>
        <v>40586104.269999996</v>
      </c>
    </row>
    <row r="33" spans="1:51">
      <c r="A33" s="1" t="s">
        <v>84</v>
      </c>
      <c r="B33" s="1" t="s">
        <v>85</v>
      </c>
      <c r="C33" s="11">
        <v>1871755.78</v>
      </c>
      <c r="D33" s="11">
        <v>0</v>
      </c>
      <c r="E33" s="11">
        <v>583059.06000000006</v>
      </c>
      <c r="F33" s="11">
        <f t="shared" si="0"/>
        <v>2454814.84</v>
      </c>
      <c r="G33" s="11">
        <v>1871755.78</v>
      </c>
      <c r="H33" s="11">
        <v>0</v>
      </c>
      <c r="I33" s="11">
        <v>583059.06000000006</v>
      </c>
      <c r="J33" s="11">
        <f t="shared" si="1"/>
        <v>2454814.84</v>
      </c>
      <c r="K33" s="11">
        <v>1871755.78</v>
      </c>
      <c r="L33" s="11">
        <v>0</v>
      </c>
      <c r="M33" s="11">
        <v>583059.06000000006</v>
      </c>
      <c r="N33" s="11">
        <f t="shared" si="2"/>
        <v>2454814.84</v>
      </c>
      <c r="O33" s="11">
        <v>2084613.62</v>
      </c>
      <c r="P33" s="11">
        <v>0</v>
      </c>
      <c r="Q33" s="11">
        <v>550402.03</v>
      </c>
      <c r="R33" s="11">
        <f t="shared" si="3"/>
        <v>2635015.6500000004</v>
      </c>
      <c r="S33" s="11">
        <v>1177871.6200000001</v>
      </c>
      <c r="T33" s="11">
        <v>0</v>
      </c>
      <c r="U33" s="11">
        <v>571405.18000000005</v>
      </c>
      <c r="V33" s="4">
        <f t="shared" si="4"/>
        <v>1749276.8000000003</v>
      </c>
      <c r="W33" s="11">
        <v>1177871.6200000001</v>
      </c>
      <c r="X33" s="11">
        <v>0</v>
      </c>
      <c r="Y33" s="11">
        <v>571405.18000000005</v>
      </c>
      <c r="Z33" s="4">
        <f t="shared" si="5"/>
        <v>1749276.8000000003</v>
      </c>
      <c r="AA33" s="11">
        <v>1177871.6200000001</v>
      </c>
      <c r="AB33" s="11">
        <v>0</v>
      </c>
      <c r="AC33" s="11">
        <v>571405.18000000005</v>
      </c>
      <c r="AD33" s="4">
        <f t="shared" si="6"/>
        <v>1749276.8000000003</v>
      </c>
      <c r="AE33" s="11">
        <v>1177871.6200000001</v>
      </c>
      <c r="AF33" s="11">
        <v>0</v>
      </c>
      <c r="AG33" s="11">
        <v>571405.18000000005</v>
      </c>
      <c r="AH33" s="4">
        <f t="shared" si="7"/>
        <v>1749276.8000000003</v>
      </c>
      <c r="AI33" s="11">
        <v>1177871.6200000001</v>
      </c>
      <c r="AJ33" s="11">
        <v>0</v>
      </c>
      <c r="AK33" s="11">
        <v>571405.18000000005</v>
      </c>
      <c r="AL33" s="4">
        <f t="shared" si="8"/>
        <v>1749276.8000000003</v>
      </c>
      <c r="AM33" s="11">
        <v>255958.7</v>
      </c>
      <c r="AN33" s="11">
        <v>0</v>
      </c>
      <c r="AO33" s="11">
        <v>571405.18000000005</v>
      </c>
      <c r="AP33" s="4">
        <f t="shared" si="9"/>
        <v>827363.88000000012</v>
      </c>
      <c r="AQ33" s="4">
        <f>10000-100</f>
        <v>9900</v>
      </c>
      <c r="AR33" s="4">
        <v>0</v>
      </c>
      <c r="AS33" s="4">
        <f>18494.64-100</f>
        <v>18394.64</v>
      </c>
      <c r="AT33" s="4">
        <f t="shared" si="10"/>
        <v>28294.639999999999</v>
      </c>
      <c r="AU33" s="11">
        <v>100</v>
      </c>
      <c r="AV33" s="11">
        <v>0</v>
      </c>
      <c r="AW33" s="11">
        <v>100</v>
      </c>
      <c r="AX33" s="11">
        <f>SUM(AU33:AW33)</f>
        <v>200</v>
      </c>
      <c r="AY33" s="11">
        <f t="shared" si="11"/>
        <v>19601702.690000001</v>
      </c>
    </row>
    <row r="34" spans="1:51">
      <c r="A34" s="1" t="s">
        <v>86</v>
      </c>
      <c r="B34" s="1" t="s">
        <v>87</v>
      </c>
      <c r="C34" s="11">
        <v>1746181.78</v>
      </c>
      <c r="D34" s="11">
        <v>473178.59</v>
      </c>
      <c r="E34" s="11">
        <v>197566.56</v>
      </c>
      <c r="F34" s="11">
        <f t="shared" si="0"/>
        <v>2416926.9300000002</v>
      </c>
      <c r="G34" s="11">
        <v>1746181.78</v>
      </c>
      <c r="H34" s="11">
        <v>473178.59</v>
      </c>
      <c r="I34" s="11">
        <v>197566.56</v>
      </c>
      <c r="J34" s="11">
        <f t="shared" si="1"/>
        <v>2416926.9300000002</v>
      </c>
      <c r="K34" s="11">
        <v>1746181.78</v>
      </c>
      <c r="L34" s="11">
        <v>473178.59</v>
      </c>
      <c r="M34" s="11">
        <v>197566.56</v>
      </c>
      <c r="N34" s="11">
        <f t="shared" si="2"/>
        <v>2416926.9300000002</v>
      </c>
      <c r="O34" s="11">
        <v>1704566.15</v>
      </c>
      <c r="P34" s="11">
        <v>460316.57</v>
      </c>
      <c r="Q34" s="11">
        <v>182908.81</v>
      </c>
      <c r="R34" s="11">
        <f t="shared" si="3"/>
        <v>2347791.5299999998</v>
      </c>
      <c r="S34" s="11">
        <v>1769611.78</v>
      </c>
      <c r="T34" s="11">
        <v>477772.09</v>
      </c>
      <c r="U34" s="11">
        <v>189888.55</v>
      </c>
      <c r="V34" s="4">
        <f t="shared" si="4"/>
        <v>2437272.42</v>
      </c>
      <c r="W34" s="11">
        <v>1769611.78</v>
      </c>
      <c r="X34" s="11">
        <v>477772.09</v>
      </c>
      <c r="Y34" s="11">
        <v>189888.55</v>
      </c>
      <c r="Z34" s="4">
        <f t="shared" si="5"/>
        <v>2437272.42</v>
      </c>
      <c r="AA34" s="11">
        <v>1769611.78</v>
      </c>
      <c r="AB34" s="11">
        <v>477772.09</v>
      </c>
      <c r="AC34" s="11">
        <v>189888.55</v>
      </c>
      <c r="AD34" s="4">
        <f t="shared" si="6"/>
        <v>2437272.42</v>
      </c>
      <c r="AE34" s="11">
        <v>1769611.78</v>
      </c>
      <c r="AF34" s="11">
        <v>477772.09</v>
      </c>
      <c r="AG34" s="11">
        <v>189888.55</v>
      </c>
      <c r="AH34" s="4">
        <f t="shared" si="7"/>
        <v>2437272.42</v>
      </c>
      <c r="AI34" s="11">
        <v>1769611.78</v>
      </c>
      <c r="AJ34" s="11">
        <v>477772.09</v>
      </c>
      <c r="AK34" s="11">
        <v>189888.55</v>
      </c>
      <c r="AL34" s="4">
        <f t="shared" si="8"/>
        <v>2437272.42</v>
      </c>
      <c r="AM34" s="11">
        <v>1769611.78</v>
      </c>
      <c r="AN34" s="11">
        <v>477772.09</v>
      </c>
      <c r="AO34" s="11">
        <v>189888.55</v>
      </c>
      <c r="AP34" s="4">
        <f t="shared" si="9"/>
        <v>2437272.42</v>
      </c>
      <c r="AQ34" s="4">
        <f>57276.92-100</f>
        <v>57176.92</v>
      </c>
      <c r="AR34" s="4">
        <f>15358.07-100</f>
        <v>15258.07</v>
      </c>
      <c r="AS34" s="4">
        <f>6146.1-100</f>
        <v>6046.1</v>
      </c>
      <c r="AT34" s="4">
        <f t="shared" si="10"/>
        <v>78481.09</v>
      </c>
      <c r="AU34" s="11">
        <v>100</v>
      </c>
      <c r="AV34" s="11">
        <v>100</v>
      </c>
      <c r="AW34" s="11">
        <v>100</v>
      </c>
      <c r="AX34" s="11">
        <f>SUM(AU34:AW34)</f>
        <v>300</v>
      </c>
      <c r="AY34" s="11">
        <f t="shared" si="11"/>
        <v>24300987.930000003</v>
      </c>
    </row>
    <row r="35" spans="1:51">
      <c r="A35" s="1" t="s">
        <v>88</v>
      </c>
      <c r="B35" s="1" t="s">
        <v>89</v>
      </c>
      <c r="C35" s="11">
        <v>10201274.802043619</v>
      </c>
      <c r="D35" s="11">
        <v>326948.36</v>
      </c>
      <c r="E35" s="11">
        <v>1699652.12</v>
      </c>
      <c r="F35" s="11">
        <f t="shared" si="0"/>
        <v>12227875.282043619</v>
      </c>
      <c r="G35" s="11">
        <v>10201274.802043619</v>
      </c>
      <c r="H35" s="11">
        <v>326948.36</v>
      </c>
      <c r="I35" s="11">
        <v>1699652.12</v>
      </c>
      <c r="J35" s="11">
        <f t="shared" si="1"/>
        <v>12227875.282043619</v>
      </c>
      <c r="K35" s="11">
        <v>10201274.802043619</v>
      </c>
      <c r="L35" s="11">
        <v>326948.36</v>
      </c>
      <c r="M35" s="11">
        <v>1699652.12</v>
      </c>
      <c r="N35" s="11">
        <f t="shared" si="2"/>
        <v>12227875.282043619</v>
      </c>
      <c r="O35" s="11">
        <v>8631252.8800000008</v>
      </c>
      <c r="P35" s="11">
        <v>318375.02</v>
      </c>
      <c r="Q35" s="11">
        <v>1614834.45</v>
      </c>
      <c r="R35" s="11">
        <f t="shared" si="3"/>
        <v>10564462.350000001</v>
      </c>
      <c r="S35" s="11">
        <v>8960618.3800000008</v>
      </c>
      <c r="T35" s="11">
        <v>330360.67</v>
      </c>
      <c r="U35" s="11">
        <v>1676455.95</v>
      </c>
      <c r="V35" s="4">
        <f t="shared" si="4"/>
        <v>10967435</v>
      </c>
      <c r="W35" s="11">
        <v>8960618.3800000008</v>
      </c>
      <c r="X35" s="11">
        <v>330360.67</v>
      </c>
      <c r="Y35" s="11">
        <v>1676455.95</v>
      </c>
      <c r="Z35" s="4">
        <f t="shared" si="5"/>
        <v>10967435</v>
      </c>
      <c r="AA35" s="11">
        <v>8960618.3800000008</v>
      </c>
      <c r="AB35" s="11">
        <v>330360.67</v>
      </c>
      <c r="AC35" s="11">
        <v>1676455.95</v>
      </c>
      <c r="AD35" s="4">
        <f t="shared" si="6"/>
        <v>10967435</v>
      </c>
      <c r="AE35" s="11">
        <v>8960618.3800000008</v>
      </c>
      <c r="AF35" s="11">
        <v>330360.67</v>
      </c>
      <c r="AG35" s="11">
        <v>1676455.95</v>
      </c>
      <c r="AH35" s="4">
        <f t="shared" si="7"/>
        <v>10967435</v>
      </c>
      <c r="AI35" s="11">
        <v>8960618.3800000008</v>
      </c>
      <c r="AJ35" s="11">
        <v>330360.67</v>
      </c>
      <c r="AK35" s="11">
        <v>1676455.95</v>
      </c>
      <c r="AL35" s="4">
        <f t="shared" si="8"/>
        <v>10967435</v>
      </c>
      <c r="AM35" s="11">
        <v>8960618.3800000008</v>
      </c>
      <c r="AN35" s="11">
        <v>330360.67</v>
      </c>
      <c r="AO35" s="11">
        <v>1676455.95</v>
      </c>
      <c r="AP35" s="4">
        <f t="shared" si="9"/>
        <v>10967435</v>
      </c>
      <c r="AQ35" s="4">
        <f>290027.85-100</f>
        <v>289927.84999999998</v>
      </c>
      <c r="AR35" s="4">
        <f>10535.35-100</f>
        <v>10435.35</v>
      </c>
      <c r="AS35" s="4">
        <f>54261.78-100</f>
        <v>54161.78</v>
      </c>
      <c r="AT35" s="4">
        <f t="shared" si="10"/>
        <v>354524.98</v>
      </c>
      <c r="AU35" s="11">
        <v>100</v>
      </c>
      <c r="AV35" s="11">
        <v>100</v>
      </c>
      <c r="AW35" s="11">
        <v>100</v>
      </c>
      <c r="AX35" s="11">
        <f>SUM(AU35:AW35)</f>
        <v>300</v>
      </c>
      <c r="AY35" s="11">
        <f t="shared" si="11"/>
        <v>113407523.17613086</v>
      </c>
    </row>
    <row r="36" spans="1:51">
      <c r="A36" s="1" t="s">
        <v>90</v>
      </c>
      <c r="B36" s="1" t="s">
        <v>91</v>
      </c>
      <c r="C36" s="11">
        <v>302815.89</v>
      </c>
      <c r="D36" s="11">
        <v>0</v>
      </c>
      <c r="E36" s="11">
        <v>264715.26</v>
      </c>
      <c r="F36" s="11">
        <f t="shared" si="0"/>
        <v>567531.15</v>
      </c>
      <c r="G36" s="11">
        <v>302815.89</v>
      </c>
      <c r="H36" s="11">
        <v>0</v>
      </c>
      <c r="I36" s="11">
        <v>264715.26</v>
      </c>
      <c r="J36" s="11">
        <f t="shared" si="1"/>
        <v>567531.15</v>
      </c>
      <c r="K36" s="11">
        <v>302815.89</v>
      </c>
      <c r="L36" s="11">
        <v>0</v>
      </c>
      <c r="M36" s="11">
        <v>264715.26</v>
      </c>
      <c r="N36" s="11">
        <f t="shared" si="2"/>
        <v>567531.15</v>
      </c>
      <c r="O36" s="11">
        <v>345935.24</v>
      </c>
      <c r="P36" s="11">
        <v>0</v>
      </c>
      <c r="Q36" s="11">
        <v>261577.85</v>
      </c>
      <c r="R36" s="11">
        <f t="shared" si="3"/>
        <v>607513.09</v>
      </c>
      <c r="S36" s="11">
        <v>359136</v>
      </c>
      <c r="T36" s="11">
        <v>0</v>
      </c>
      <c r="U36" s="11">
        <v>271559.57</v>
      </c>
      <c r="V36" s="4">
        <f t="shared" si="4"/>
        <v>630695.57000000007</v>
      </c>
      <c r="W36" s="11">
        <v>359136</v>
      </c>
      <c r="X36" s="11">
        <v>0</v>
      </c>
      <c r="Y36" s="11">
        <v>271559.57</v>
      </c>
      <c r="Z36" s="4">
        <f t="shared" si="5"/>
        <v>630695.57000000007</v>
      </c>
      <c r="AA36" s="11">
        <v>359136</v>
      </c>
      <c r="AB36" s="11">
        <v>0</v>
      </c>
      <c r="AC36" s="11">
        <v>271559.57</v>
      </c>
      <c r="AD36" s="4">
        <f t="shared" si="6"/>
        <v>630695.57000000007</v>
      </c>
      <c r="AE36" s="11">
        <v>359136</v>
      </c>
      <c r="AF36" s="11">
        <v>0</v>
      </c>
      <c r="AG36" s="11">
        <v>271559.57</v>
      </c>
      <c r="AH36" s="4">
        <f t="shared" si="7"/>
        <v>630695.57000000007</v>
      </c>
      <c r="AI36" s="11">
        <v>359136</v>
      </c>
      <c r="AJ36" s="11">
        <v>0</v>
      </c>
      <c r="AK36" s="11">
        <v>271559.57</v>
      </c>
      <c r="AL36" s="4">
        <f t="shared" si="8"/>
        <v>630695.57000000007</v>
      </c>
      <c r="AM36" s="11">
        <v>359136</v>
      </c>
      <c r="AN36" s="11">
        <v>0</v>
      </c>
      <c r="AO36" s="11">
        <v>271559.57</v>
      </c>
      <c r="AP36" s="4">
        <f t="shared" si="9"/>
        <v>630695.57000000007</v>
      </c>
      <c r="AQ36" s="4">
        <f>11624.13-100</f>
        <v>11524.13</v>
      </c>
      <c r="AR36" s="4">
        <v>0</v>
      </c>
      <c r="AS36" s="4">
        <f>8789.55-100</f>
        <v>8689.5499999999993</v>
      </c>
      <c r="AT36" s="4">
        <f t="shared" si="10"/>
        <v>20213.68</v>
      </c>
      <c r="AU36" s="11">
        <v>100</v>
      </c>
      <c r="AV36" s="11">
        <v>0</v>
      </c>
      <c r="AW36" s="11">
        <v>100</v>
      </c>
      <c r="AX36" s="11">
        <f>SUM(AU36:AW36)</f>
        <v>200</v>
      </c>
      <c r="AY36" s="11">
        <f t="shared" si="11"/>
        <v>6114693.6400000015</v>
      </c>
    </row>
    <row r="37" spans="1:51">
      <c r="A37" s="1" t="s">
        <v>92</v>
      </c>
      <c r="B37" s="1" t="s">
        <v>93</v>
      </c>
      <c r="C37" s="11">
        <v>1822743.33</v>
      </c>
      <c r="D37" s="11">
        <v>505072.4</v>
      </c>
      <c r="E37" s="11">
        <v>114014.08</v>
      </c>
      <c r="F37" s="11">
        <f t="shared" si="0"/>
        <v>2441829.81</v>
      </c>
      <c r="G37" s="11">
        <v>1822743.33</v>
      </c>
      <c r="H37" s="11">
        <v>505072.4</v>
      </c>
      <c r="I37" s="11">
        <v>114014.08</v>
      </c>
      <c r="J37" s="11">
        <f t="shared" si="1"/>
        <v>2441829.81</v>
      </c>
      <c r="K37" s="11">
        <v>1822743.33</v>
      </c>
      <c r="L37" s="11">
        <v>505072.4</v>
      </c>
      <c r="M37" s="11">
        <v>114014.08</v>
      </c>
      <c r="N37" s="11">
        <f t="shared" si="2"/>
        <v>2441829.81</v>
      </c>
      <c r="O37" s="11">
        <v>1963736.89</v>
      </c>
      <c r="P37" s="11">
        <v>491073.41</v>
      </c>
      <c r="Q37" s="11">
        <v>108406.38</v>
      </c>
      <c r="R37" s="11">
        <f t="shared" si="3"/>
        <v>2563216.6799999997</v>
      </c>
      <c r="S37" s="11">
        <v>2038672.38</v>
      </c>
      <c r="T37" s="11">
        <v>509761.63</v>
      </c>
      <c r="U37" s="11">
        <v>112543.13</v>
      </c>
      <c r="V37" s="4">
        <f t="shared" si="4"/>
        <v>2660977.1399999997</v>
      </c>
      <c r="W37" s="11">
        <v>2038672.38</v>
      </c>
      <c r="X37" s="11">
        <v>509761.63</v>
      </c>
      <c r="Y37" s="11">
        <v>112543.13</v>
      </c>
      <c r="Z37" s="4">
        <f t="shared" si="5"/>
        <v>2660977.1399999997</v>
      </c>
      <c r="AA37" s="11">
        <v>2038672.38</v>
      </c>
      <c r="AB37" s="11">
        <v>509761.63</v>
      </c>
      <c r="AC37" s="11">
        <v>112543.13</v>
      </c>
      <c r="AD37" s="4">
        <f t="shared" si="6"/>
        <v>2660977.1399999997</v>
      </c>
      <c r="AE37" s="11">
        <v>2038672.38</v>
      </c>
      <c r="AF37" s="11">
        <v>509761.63</v>
      </c>
      <c r="AG37" s="11">
        <v>112543.13</v>
      </c>
      <c r="AH37" s="4">
        <f t="shared" si="7"/>
        <v>2660977.1399999997</v>
      </c>
      <c r="AI37" s="11">
        <v>2038672.38</v>
      </c>
      <c r="AJ37" s="11">
        <v>509761.63</v>
      </c>
      <c r="AK37" s="11">
        <v>112543.13</v>
      </c>
      <c r="AL37" s="4">
        <f t="shared" si="8"/>
        <v>2660977.1399999997</v>
      </c>
      <c r="AM37" s="11">
        <v>2038672.38</v>
      </c>
      <c r="AN37" s="11">
        <v>509761.63</v>
      </c>
      <c r="AO37" s="11">
        <v>112543.13</v>
      </c>
      <c r="AP37" s="4">
        <f t="shared" si="9"/>
        <v>2660977.1399999997</v>
      </c>
      <c r="AQ37" s="4">
        <f>65985.6-100</f>
        <v>65885.600000000006</v>
      </c>
      <c r="AR37" s="4">
        <f>16450.34-100</f>
        <v>16350.34</v>
      </c>
      <c r="AS37" s="4">
        <f>3642.69-100</f>
        <v>3542.69</v>
      </c>
      <c r="AT37" s="4">
        <f t="shared" si="10"/>
        <v>85778.63</v>
      </c>
      <c r="AU37" s="11">
        <v>100</v>
      </c>
      <c r="AV37" s="11">
        <v>100</v>
      </c>
      <c r="AW37" s="11">
        <v>100</v>
      </c>
      <c r="AX37" s="11">
        <f>SUM(AU37:AW37)</f>
        <v>300</v>
      </c>
      <c r="AY37" s="11">
        <f t="shared" si="11"/>
        <v>25940647.580000002</v>
      </c>
    </row>
    <row r="38" spans="1:51">
      <c r="A38" s="1" t="s">
        <v>94</v>
      </c>
      <c r="B38" s="1" t="s">
        <v>95</v>
      </c>
      <c r="C38" s="11">
        <v>2475808.7200000002</v>
      </c>
      <c r="D38" s="11">
        <v>295725.5</v>
      </c>
      <c r="E38" s="11">
        <v>830262.86</v>
      </c>
      <c r="F38" s="11">
        <f t="shared" si="0"/>
        <v>3601797.08</v>
      </c>
      <c r="G38" s="11">
        <v>2475808.7200000002</v>
      </c>
      <c r="H38" s="11">
        <v>295725.5</v>
      </c>
      <c r="I38" s="11">
        <v>830262.86</v>
      </c>
      <c r="J38" s="11">
        <f t="shared" si="1"/>
        <v>3601797.08</v>
      </c>
      <c r="K38" s="11">
        <v>2475808.7200000002</v>
      </c>
      <c r="L38" s="11">
        <v>295725.5</v>
      </c>
      <c r="M38" s="11">
        <v>830262.86</v>
      </c>
      <c r="N38" s="11">
        <f t="shared" si="2"/>
        <v>3601797.08</v>
      </c>
      <c r="O38" s="11">
        <v>2506073.2200000002</v>
      </c>
      <c r="P38" s="11">
        <v>287408.61</v>
      </c>
      <c r="Q38" s="11">
        <v>790989.44</v>
      </c>
      <c r="R38" s="11">
        <f t="shared" si="3"/>
        <v>3584471.27</v>
      </c>
      <c r="S38" s="11">
        <v>2601704.0699999998</v>
      </c>
      <c r="T38" s="11">
        <v>298251.7</v>
      </c>
      <c r="U38" s="11">
        <v>821173.31</v>
      </c>
      <c r="V38" s="4">
        <f t="shared" si="4"/>
        <v>3721129.08</v>
      </c>
      <c r="W38" s="11">
        <v>2601704.0699999998</v>
      </c>
      <c r="X38" s="11">
        <v>298251.7</v>
      </c>
      <c r="Y38" s="11">
        <v>821173.31</v>
      </c>
      <c r="Z38" s="4">
        <f t="shared" si="5"/>
        <v>3721129.08</v>
      </c>
      <c r="AA38" s="11">
        <v>2601704.0699999998</v>
      </c>
      <c r="AB38" s="11">
        <v>298251.7</v>
      </c>
      <c r="AC38" s="11">
        <v>821173.31</v>
      </c>
      <c r="AD38" s="4">
        <f t="shared" si="6"/>
        <v>3721129.08</v>
      </c>
      <c r="AE38" s="11">
        <v>2601704.0699999998</v>
      </c>
      <c r="AF38" s="11">
        <v>298251.7</v>
      </c>
      <c r="AG38" s="11">
        <v>821173.31</v>
      </c>
      <c r="AH38" s="4">
        <f t="shared" si="7"/>
        <v>3721129.08</v>
      </c>
      <c r="AI38" s="11">
        <v>2601704.0699999998</v>
      </c>
      <c r="AJ38" s="11">
        <v>298251.7</v>
      </c>
      <c r="AK38" s="11">
        <v>821173.31</v>
      </c>
      <c r="AL38" s="4">
        <f t="shared" si="8"/>
        <v>3721129.08</v>
      </c>
      <c r="AM38" s="11">
        <v>2601704.0699999998</v>
      </c>
      <c r="AN38" s="11">
        <v>298251.7</v>
      </c>
      <c r="AO38" s="11">
        <v>821173.31</v>
      </c>
      <c r="AP38" s="4">
        <f t="shared" si="9"/>
        <v>3721129.08</v>
      </c>
      <c r="AQ38" s="4">
        <f>84209.21-100</f>
        <v>84109.21</v>
      </c>
      <c r="AR38" s="4">
        <f>9533.75-100</f>
        <v>9433.75</v>
      </c>
      <c r="AS38" s="4">
        <f>26578.9-100</f>
        <v>26478.9</v>
      </c>
      <c r="AT38" s="4">
        <f t="shared" si="10"/>
        <v>120021.86000000002</v>
      </c>
      <c r="AU38" s="11">
        <v>100</v>
      </c>
      <c r="AV38" s="11">
        <v>100</v>
      </c>
      <c r="AW38" s="11">
        <v>100</v>
      </c>
      <c r="AX38" s="11">
        <f>SUM(AU38:AW38)</f>
        <v>300</v>
      </c>
      <c r="AY38" s="11">
        <f t="shared" si="11"/>
        <v>36836958.849999994</v>
      </c>
    </row>
    <row r="39" spans="1:51">
      <c r="A39" s="1" t="s">
        <v>96</v>
      </c>
      <c r="B39" s="1" t="s">
        <v>97</v>
      </c>
      <c r="C39" s="11">
        <v>5582890.1600000001</v>
      </c>
      <c r="D39" s="11">
        <v>677311.46</v>
      </c>
      <c r="E39" s="11">
        <v>238884.68</v>
      </c>
      <c r="F39" s="11">
        <f t="shared" si="0"/>
        <v>6499086.2999999998</v>
      </c>
      <c r="G39" s="11">
        <v>5582890.1600000001</v>
      </c>
      <c r="H39" s="11">
        <v>677311.46</v>
      </c>
      <c r="I39" s="11">
        <v>238884.68</v>
      </c>
      <c r="J39" s="11">
        <f t="shared" si="1"/>
        <v>6499086.2999999998</v>
      </c>
      <c r="K39" s="11">
        <v>5582890.1600000001</v>
      </c>
      <c r="L39" s="11">
        <v>677311.46</v>
      </c>
      <c r="M39" s="11">
        <v>238884.68</v>
      </c>
      <c r="N39" s="11">
        <f t="shared" si="2"/>
        <v>6499086.2999999998</v>
      </c>
      <c r="O39" s="11">
        <v>5393087.5499999998</v>
      </c>
      <c r="P39" s="11">
        <v>658454.79</v>
      </c>
      <c r="Q39" s="11">
        <v>229028.13</v>
      </c>
      <c r="R39" s="11">
        <f t="shared" si="3"/>
        <v>6280570.4699999997</v>
      </c>
      <c r="S39" s="11">
        <v>5598885.8300000001</v>
      </c>
      <c r="T39" s="11">
        <v>683289.27</v>
      </c>
      <c r="U39" s="11">
        <v>237767.76</v>
      </c>
      <c r="V39" s="4">
        <f t="shared" si="4"/>
        <v>6519942.8600000003</v>
      </c>
      <c r="W39" s="11">
        <v>5598885.8300000001</v>
      </c>
      <c r="X39" s="11">
        <v>683289.27</v>
      </c>
      <c r="Y39" s="11">
        <v>237767.76</v>
      </c>
      <c r="Z39" s="4">
        <f t="shared" si="5"/>
        <v>6519942.8600000003</v>
      </c>
      <c r="AA39" s="11">
        <v>5598885.8300000001</v>
      </c>
      <c r="AB39" s="11">
        <v>683289.27</v>
      </c>
      <c r="AC39" s="11">
        <v>237767.76</v>
      </c>
      <c r="AD39" s="4">
        <f t="shared" si="6"/>
        <v>6519942.8600000003</v>
      </c>
      <c r="AE39" s="11">
        <v>5598885.8300000001</v>
      </c>
      <c r="AF39" s="11">
        <v>683289.27</v>
      </c>
      <c r="AG39" s="11">
        <v>237767.76</v>
      </c>
      <c r="AH39" s="4">
        <f t="shared" si="7"/>
        <v>6519942.8600000003</v>
      </c>
      <c r="AI39" s="11">
        <v>5598885.8300000001</v>
      </c>
      <c r="AJ39" s="11">
        <v>683289.27</v>
      </c>
      <c r="AK39" s="11">
        <v>237767.76</v>
      </c>
      <c r="AL39" s="4">
        <f t="shared" si="8"/>
        <v>6519942.8600000003</v>
      </c>
      <c r="AM39" s="11">
        <v>5598885.8300000001</v>
      </c>
      <c r="AN39" s="11">
        <v>683289.27</v>
      </c>
      <c r="AO39" s="11">
        <v>237767.76</v>
      </c>
      <c r="AP39" s="4">
        <f t="shared" si="9"/>
        <v>6519942.8600000003</v>
      </c>
      <c r="AQ39" s="4">
        <f>317776-100</f>
        <v>317676</v>
      </c>
      <c r="AR39" s="4">
        <f>38500.3-100</f>
        <v>38400.300000000003</v>
      </c>
      <c r="AS39" s="4">
        <f>13494.99-100</f>
        <v>13394.99</v>
      </c>
      <c r="AT39" s="4">
        <f t="shared" si="10"/>
        <v>369471.29</v>
      </c>
      <c r="AU39" s="11">
        <v>100</v>
      </c>
      <c r="AV39" s="11">
        <v>100</v>
      </c>
      <c r="AW39" s="11">
        <v>100</v>
      </c>
      <c r="AX39" s="11">
        <f>SUM(AU39:AW39)</f>
        <v>300</v>
      </c>
      <c r="AY39" s="11">
        <f t="shared" si="11"/>
        <v>65267257.819999993</v>
      </c>
    </row>
    <row r="40" spans="1:51">
      <c r="A40" s="1" t="s">
        <v>98</v>
      </c>
      <c r="B40" s="1" t="s">
        <v>99</v>
      </c>
      <c r="C40" s="11">
        <v>5779164.6100000003</v>
      </c>
      <c r="D40" s="11">
        <v>0</v>
      </c>
      <c r="E40" s="11">
        <v>3168244.41</v>
      </c>
      <c r="F40" s="11">
        <f t="shared" si="0"/>
        <v>8947409.0199999996</v>
      </c>
      <c r="G40" s="11">
        <v>5779164.6100000003</v>
      </c>
      <c r="H40" s="11">
        <v>0</v>
      </c>
      <c r="I40" s="11">
        <v>3168244.41</v>
      </c>
      <c r="J40" s="11">
        <f t="shared" si="1"/>
        <v>8947409.0199999996</v>
      </c>
      <c r="K40" s="11">
        <v>5779164.6100000003</v>
      </c>
      <c r="L40" s="11">
        <v>0</v>
      </c>
      <c r="M40" s="11">
        <v>3168244.41</v>
      </c>
      <c r="N40" s="11">
        <f t="shared" si="2"/>
        <v>8947409.0199999996</v>
      </c>
      <c r="O40" s="11">
        <v>6620625.5499999998</v>
      </c>
      <c r="P40" s="11">
        <v>0</v>
      </c>
      <c r="Q40" s="11">
        <v>2993902.96</v>
      </c>
      <c r="R40" s="11">
        <f t="shared" si="3"/>
        <v>9614528.5099999998</v>
      </c>
      <c r="S40" s="11">
        <v>6873266.2400000002</v>
      </c>
      <c r="T40" s="11">
        <v>0</v>
      </c>
      <c r="U40" s="11">
        <v>2952843.67</v>
      </c>
      <c r="V40" s="4">
        <f t="shared" si="4"/>
        <v>9826109.9100000001</v>
      </c>
      <c r="W40" s="11">
        <v>6873266.2400000002</v>
      </c>
      <c r="X40" s="11">
        <v>0</v>
      </c>
      <c r="Y40" s="11">
        <v>2952843.67</v>
      </c>
      <c r="Z40" s="4">
        <f t="shared" si="5"/>
        <v>9826109.9100000001</v>
      </c>
      <c r="AA40" s="11">
        <v>6873266.2400000002</v>
      </c>
      <c r="AB40" s="11">
        <v>0</v>
      </c>
      <c r="AC40" s="11">
        <v>2952843.67</v>
      </c>
      <c r="AD40" s="4">
        <f t="shared" si="6"/>
        <v>9826109.9100000001</v>
      </c>
      <c r="AE40" s="11">
        <v>6873266.2400000002</v>
      </c>
      <c r="AF40" s="11">
        <v>0</v>
      </c>
      <c r="AG40" s="11">
        <v>2952843.67</v>
      </c>
      <c r="AH40" s="4">
        <f t="shared" si="7"/>
        <v>9826109.9100000001</v>
      </c>
      <c r="AI40" s="11">
        <v>6873266.2400000002</v>
      </c>
      <c r="AJ40" s="11">
        <v>0</v>
      </c>
      <c r="AK40" s="11">
        <v>2952843.67</v>
      </c>
      <c r="AL40" s="4">
        <f t="shared" si="8"/>
        <v>9826109.9100000001</v>
      </c>
      <c r="AM40" s="11">
        <v>6873266.2400000002</v>
      </c>
      <c r="AN40" s="11">
        <v>0</v>
      </c>
      <c r="AO40" s="11">
        <v>2952843.67</v>
      </c>
      <c r="AP40" s="4">
        <f t="shared" si="9"/>
        <v>9826109.9100000001</v>
      </c>
      <c r="AQ40" s="4">
        <f>222466.64-100</f>
        <v>222366.64</v>
      </c>
      <c r="AR40" s="4">
        <v>0</v>
      </c>
      <c r="AS40" s="16">
        <f>9010.31-100</f>
        <v>8910.31</v>
      </c>
      <c r="AT40" s="4">
        <f t="shared" si="10"/>
        <v>231276.95</v>
      </c>
      <c r="AU40" s="11">
        <v>100</v>
      </c>
      <c r="AV40" s="11">
        <v>0</v>
      </c>
      <c r="AW40" s="11">
        <v>100</v>
      </c>
      <c r="AX40" s="11">
        <f>SUM(AU40:AW40)</f>
        <v>200</v>
      </c>
      <c r="AY40" s="11">
        <f t="shared" si="11"/>
        <v>95644891.979999989</v>
      </c>
    </row>
    <row r="41" spans="1:51">
      <c r="A41" s="1" t="s">
        <v>100</v>
      </c>
      <c r="B41" s="1" t="s">
        <v>101</v>
      </c>
      <c r="C41" s="11">
        <v>71382.37</v>
      </c>
      <c r="D41" s="11">
        <v>577517.64</v>
      </c>
      <c r="E41" s="11">
        <v>91290.39</v>
      </c>
      <c r="F41" s="11">
        <f t="shared" si="0"/>
        <v>740190.4</v>
      </c>
      <c r="G41" s="11">
        <v>71382.37</v>
      </c>
      <c r="H41" s="11">
        <v>577517.64</v>
      </c>
      <c r="I41" s="11">
        <v>91290.39</v>
      </c>
      <c r="J41" s="11">
        <f t="shared" si="1"/>
        <v>740190.4</v>
      </c>
      <c r="K41" s="11">
        <v>71382.37</v>
      </c>
      <c r="L41" s="11">
        <v>577517.64</v>
      </c>
      <c r="M41" s="11">
        <v>91290.39</v>
      </c>
      <c r="N41" s="11">
        <f t="shared" si="2"/>
        <v>740190.4</v>
      </c>
      <c r="O41" s="11">
        <v>68199.64</v>
      </c>
      <c r="P41" s="11">
        <v>561632.68000000005</v>
      </c>
      <c r="Q41" s="11">
        <v>88297.73</v>
      </c>
      <c r="R41" s="11">
        <f t="shared" si="3"/>
        <v>718130.05</v>
      </c>
      <c r="S41" s="11">
        <v>116115.46</v>
      </c>
      <c r="T41" s="11">
        <v>469223.05</v>
      </c>
      <c r="U41" s="11">
        <v>91667.14</v>
      </c>
      <c r="V41" s="4">
        <f t="shared" si="4"/>
        <v>677005.64999999991</v>
      </c>
      <c r="W41" s="11">
        <v>116115.46</v>
      </c>
      <c r="X41" s="11">
        <v>469223.05</v>
      </c>
      <c r="Y41" s="11">
        <v>91667.14</v>
      </c>
      <c r="Z41" s="4">
        <f t="shared" si="5"/>
        <v>677005.64999999991</v>
      </c>
      <c r="AA41" s="11">
        <v>116115.46</v>
      </c>
      <c r="AB41" s="11">
        <v>469223.05</v>
      </c>
      <c r="AC41" s="11">
        <v>91667.14</v>
      </c>
      <c r="AD41" s="4">
        <f t="shared" si="6"/>
        <v>677005.64999999991</v>
      </c>
      <c r="AE41" s="11">
        <v>116115.46</v>
      </c>
      <c r="AF41" s="11">
        <v>469223.05</v>
      </c>
      <c r="AG41" s="11">
        <v>91667.14</v>
      </c>
      <c r="AH41" s="4">
        <f t="shared" si="7"/>
        <v>677005.64999999991</v>
      </c>
      <c r="AI41" s="11">
        <v>116115.46</v>
      </c>
      <c r="AJ41" s="11">
        <v>469223.05</v>
      </c>
      <c r="AK41" s="11">
        <v>91667.14</v>
      </c>
      <c r="AL41" s="4">
        <f t="shared" si="8"/>
        <v>677005.64999999991</v>
      </c>
      <c r="AM41" s="11">
        <v>116115.46</v>
      </c>
      <c r="AN41" s="11">
        <v>469223.05</v>
      </c>
      <c r="AO41" s="11">
        <v>91667.14</v>
      </c>
      <c r="AP41" s="4">
        <f t="shared" si="9"/>
        <v>677005.64999999991</v>
      </c>
      <c r="AQ41" s="4">
        <v>47306.07</v>
      </c>
      <c r="AR41" s="4">
        <v>15656.42</v>
      </c>
      <c r="AS41" s="4">
        <v>2866.93</v>
      </c>
      <c r="AT41" s="4">
        <f t="shared" si="10"/>
        <v>65829.42</v>
      </c>
      <c r="AU41" s="11">
        <v>100</v>
      </c>
      <c r="AV41" s="11">
        <v>100</v>
      </c>
      <c r="AW41" s="11">
        <v>100</v>
      </c>
      <c r="AX41" s="11">
        <f>SUM(AU41:AW41)</f>
        <v>300</v>
      </c>
      <c r="AY41" s="11">
        <f t="shared" si="11"/>
        <v>7066864.5700000003</v>
      </c>
    </row>
    <row r="42" spans="1:51">
      <c r="A42" s="1" t="s">
        <v>102</v>
      </c>
      <c r="B42" s="1" t="s">
        <v>103</v>
      </c>
      <c r="C42" s="11">
        <v>317837.11</v>
      </c>
      <c r="D42" s="11">
        <v>0</v>
      </c>
      <c r="E42" s="11">
        <v>0</v>
      </c>
      <c r="F42" s="11">
        <f t="shared" si="0"/>
        <v>317837.11</v>
      </c>
      <c r="G42" s="11">
        <v>317837.11</v>
      </c>
      <c r="H42" s="11">
        <v>0</v>
      </c>
      <c r="I42" s="11">
        <v>0</v>
      </c>
      <c r="J42" s="11">
        <f t="shared" si="1"/>
        <v>317837.11</v>
      </c>
      <c r="K42" s="11">
        <v>317837.11</v>
      </c>
      <c r="L42" s="11">
        <v>0</v>
      </c>
      <c r="M42" s="11">
        <v>0</v>
      </c>
      <c r="N42" s="11">
        <f t="shared" si="2"/>
        <v>317837.11</v>
      </c>
      <c r="O42" s="11">
        <v>394399.05</v>
      </c>
      <c r="P42" s="11">
        <v>0</v>
      </c>
      <c r="Q42" s="11">
        <v>0</v>
      </c>
      <c r="R42" s="11">
        <f t="shared" si="3"/>
        <v>394399.05</v>
      </c>
      <c r="S42" s="11">
        <v>409449.17</v>
      </c>
      <c r="T42" s="11">
        <v>0</v>
      </c>
      <c r="U42" s="11">
        <v>0</v>
      </c>
      <c r="V42" s="4">
        <f t="shared" si="4"/>
        <v>409449.17</v>
      </c>
      <c r="W42" s="11">
        <v>409449.17</v>
      </c>
      <c r="X42" s="11">
        <v>0</v>
      </c>
      <c r="Y42" s="11">
        <v>0</v>
      </c>
      <c r="Z42" s="4">
        <f t="shared" si="5"/>
        <v>409449.17</v>
      </c>
      <c r="AA42" s="11">
        <v>409449.17</v>
      </c>
      <c r="AB42" s="11">
        <v>0</v>
      </c>
      <c r="AC42" s="11">
        <v>0</v>
      </c>
      <c r="AD42" s="4">
        <f t="shared" si="6"/>
        <v>409449.17</v>
      </c>
      <c r="AE42" s="11">
        <v>409449.17</v>
      </c>
      <c r="AF42" s="11">
        <v>0</v>
      </c>
      <c r="AG42" s="11">
        <v>0</v>
      </c>
      <c r="AH42" s="4">
        <f t="shared" si="7"/>
        <v>409449.17</v>
      </c>
      <c r="AI42" s="11">
        <v>409449.17</v>
      </c>
      <c r="AJ42" s="11">
        <v>0</v>
      </c>
      <c r="AK42" s="11">
        <v>0</v>
      </c>
      <c r="AL42" s="4">
        <f t="shared" si="8"/>
        <v>409449.17</v>
      </c>
      <c r="AM42" s="11">
        <v>409449.17</v>
      </c>
      <c r="AN42" s="11">
        <v>0</v>
      </c>
      <c r="AO42" s="11">
        <v>0</v>
      </c>
      <c r="AP42" s="4">
        <f t="shared" si="9"/>
        <v>409449.17</v>
      </c>
      <c r="AQ42" s="4">
        <f>13252.63-100</f>
        <v>13152.63</v>
      </c>
      <c r="AR42" s="4">
        <v>0</v>
      </c>
      <c r="AS42" s="4">
        <v>0</v>
      </c>
      <c r="AT42" s="4">
        <f t="shared" si="10"/>
        <v>13152.63</v>
      </c>
      <c r="AU42" s="11">
        <v>100</v>
      </c>
      <c r="AV42" s="11">
        <v>0</v>
      </c>
      <c r="AW42" s="11">
        <v>0</v>
      </c>
      <c r="AX42" s="11">
        <f>SUM(AU42:AW42)</f>
        <v>100</v>
      </c>
      <c r="AY42" s="11">
        <f t="shared" si="11"/>
        <v>3817858.0299999993</v>
      </c>
    </row>
    <row r="43" spans="1:51">
      <c r="A43" s="1" t="s">
        <v>104</v>
      </c>
      <c r="B43" s="1" t="s">
        <v>105</v>
      </c>
      <c r="C43" s="11">
        <v>5861865.6100000003</v>
      </c>
      <c r="D43" s="11">
        <v>1500566.92</v>
      </c>
      <c r="E43" s="11">
        <v>442063.91</v>
      </c>
      <c r="F43" s="11">
        <f t="shared" si="0"/>
        <v>7804496.4400000004</v>
      </c>
      <c r="G43" s="11">
        <v>5861865.6100000003</v>
      </c>
      <c r="H43" s="11">
        <v>1500566.92</v>
      </c>
      <c r="I43" s="11">
        <v>442063.91</v>
      </c>
      <c r="J43" s="11">
        <f t="shared" si="1"/>
        <v>7804496.4400000004</v>
      </c>
      <c r="K43" s="11">
        <v>5861865.6100000003</v>
      </c>
      <c r="L43" s="11">
        <v>1500566.92</v>
      </c>
      <c r="M43" s="11">
        <v>442063.91</v>
      </c>
      <c r="N43" s="11">
        <f t="shared" si="2"/>
        <v>7804496.4400000004</v>
      </c>
      <c r="O43" s="11">
        <v>6152912.1500000004</v>
      </c>
      <c r="P43" s="11">
        <v>1647346.22</v>
      </c>
      <c r="Q43" s="11">
        <v>427089.94</v>
      </c>
      <c r="R43" s="11">
        <f t="shared" si="3"/>
        <v>8227348.3100000005</v>
      </c>
      <c r="S43" s="11">
        <v>6387705.0599999996</v>
      </c>
      <c r="T43" s="11">
        <v>1746067.77</v>
      </c>
      <c r="U43" s="11">
        <v>443387.54</v>
      </c>
      <c r="V43" s="4">
        <f t="shared" si="4"/>
        <v>8577160.3699999992</v>
      </c>
      <c r="W43" s="11">
        <v>6387705.0599999996</v>
      </c>
      <c r="X43" s="11">
        <v>1746067.77</v>
      </c>
      <c r="Y43" s="11">
        <v>443387.54</v>
      </c>
      <c r="Z43" s="4">
        <f t="shared" si="5"/>
        <v>8577160.3699999992</v>
      </c>
      <c r="AA43" s="11">
        <v>6387705.0599999996</v>
      </c>
      <c r="AB43" s="11">
        <v>1746067.77</v>
      </c>
      <c r="AC43" s="11">
        <v>443387.54</v>
      </c>
      <c r="AD43" s="4">
        <f t="shared" si="6"/>
        <v>8577160.3699999992</v>
      </c>
      <c r="AE43" s="11">
        <v>6387705.0599999996</v>
      </c>
      <c r="AF43" s="11">
        <v>1746067.77</v>
      </c>
      <c r="AG43" s="11">
        <v>443387.54</v>
      </c>
      <c r="AH43" s="4">
        <f t="shared" si="7"/>
        <v>8577160.3699999992</v>
      </c>
      <c r="AI43" s="11">
        <v>6387705.0599999996</v>
      </c>
      <c r="AJ43" s="11">
        <v>1746067.77</v>
      </c>
      <c r="AK43" s="11">
        <v>443387.54</v>
      </c>
      <c r="AL43" s="4">
        <f t="shared" si="8"/>
        <v>8577160.3699999992</v>
      </c>
      <c r="AM43" s="11">
        <v>6387705.0599999996</v>
      </c>
      <c r="AN43" s="11">
        <v>1746067.77</v>
      </c>
      <c r="AO43" s="11">
        <v>443387.54</v>
      </c>
      <c r="AP43" s="4">
        <f t="shared" si="9"/>
        <v>8577160.3699999992</v>
      </c>
      <c r="AQ43" s="4">
        <f>206750.5-100</f>
        <v>206650.5</v>
      </c>
      <c r="AR43" s="4">
        <f>91056.2-100</f>
        <v>90956.2</v>
      </c>
      <c r="AS43" s="4">
        <f>14351.1-100</f>
        <v>14251.1</v>
      </c>
      <c r="AT43" s="4">
        <f t="shared" si="10"/>
        <v>311857.8</v>
      </c>
      <c r="AU43" s="11">
        <v>100</v>
      </c>
      <c r="AV43" s="11">
        <v>100</v>
      </c>
      <c r="AW43" s="11">
        <v>100</v>
      </c>
      <c r="AX43" s="11">
        <f>SUM(AU43:AW43)</f>
        <v>300</v>
      </c>
      <c r="AY43" s="11">
        <f t="shared" si="11"/>
        <v>83415957.649999991</v>
      </c>
    </row>
    <row r="44" spans="1:51">
      <c r="A44" s="1" t="s">
        <v>106</v>
      </c>
      <c r="B44" s="1" t="s">
        <v>107</v>
      </c>
      <c r="C44" s="11">
        <v>252866.98</v>
      </c>
      <c r="D44" s="11">
        <v>0</v>
      </c>
      <c r="E44" s="11">
        <v>99691.5</v>
      </c>
      <c r="F44" s="11">
        <f t="shared" si="0"/>
        <v>352558.48</v>
      </c>
      <c r="G44" s="11">
        <v>252866.98</v>
      </c>
      <c r="H44" s="11">
        <v>0</v>
      </c>
      <c r="I44" s="11">
        <v>99691.5</v>
      </c>
      <c r="J44" s="11">
        <f t="shared" si="1"/>
        <v>352558.48</v>
      </c>
      <c r="K44" s="11">
        <v>252866.98</v>
      </c>
      <c r="L44" s="11">
        <v>0</v>
      </c>
      <c r="M44" s="11">
        <v>99691.5</v>
      </c>
      <c r="N44" s="11">
        <f t="shared" si="2"/>
        <v>352558.48</v>
      </c>
      <c r="O44" s="11">
        <v>244525.52</v>
      </c>
      <c r="P44" s="11">
        <v>0</v>
      </c>
      <c r="Q44" s="11">
        <v>95896.12</v>
      </c>
      <c r="R44" s="11">
        <f t="shared" si="3"/>
        <v>340421.64</v>
      </c>
      <c r="S44" s="11">
        <v>253856.53</v>
      </c>
      <c r="T44" s="11">
        <v>0</v>
      </c>
      <c r="U44" s="11">
        <v>99555.48</v>
      </c>
      <c r="V44" s="4">
        <f t="shared" si="4"/>
        <v>353412.01</v>
      </c>
      <c r="W44" s="11">
        <v>253856.53</v>
      </c>
      <c r="X44" s="11">
        <v>0</v>
      </c>
      <c r="Y44" s="11">
        <v>99555.48</v>
      </c>
      <c r="Z44" s="4">
        <f t="shared" si="5"/>
        <v>353412.01</v>
      </c>
      <c r="AA44" s="11">
        <v>253856.53</v>
      </c>
      <c r="AB44" s="11">
        <v>0</v>
      </c>
      <c r="AC44" s="11">
        <v>99555.48</v>
      </c>
      <c r="AD44" s="4">
        <f t="shared" si="6"/>
        <v>353412.01</v>
      </c>
      <c r="AE44" s="11">
        <v>253856.53</v>
      </c>
      <c r="AF44" s="11">
        <v>0</v>
      </c>
      <c r="AG44" s="11">
        <v>99555.48</v>
      </c>
      <c r="AH44" s="4">
        <f t="shared" si="7"/>
        <v>353412.01</v>
      </c>
      <c r="AI44" s="11">
        <v>253856.53</v>
      </c>
      <c r="AJ44" s="11">
        <v>0</v>
      </c>
      <c r="AK44" s="11">
        <v>99555.48</v>
      </c>
      <c r="AL44" s="4">
        <f t="shared" si="8"/>
        <v>353412.01</v>
      </c>
      <c r="AM44" s="11">
        <v>253856.53</v>
      </c>
      <c r="AN44" s="11">
        <v>0</v>
      </c>
      <c r="AO44" s="11">
        <v>99555.48</v>
      </c>
      <c r="AP44" s="4">
        <f t="shared" si="9"/>
        <v>353412.01</v>
      </c>
      <c r="AQ44" s="4">
        <f>8216.56-100</f>
        <v>8116.5599999999995</v>
      </c>
      <c r="AR44" s="4">
        <v>0</v>
      </c>
      <c r="AS44" s="4">
        <f>3222.31-100</f>
        <v>3122.31</v>
      </c>
      <c r="AT44" s="4">
        <f t="shared" si="10"/>
        <v>11238.869999999999</v>
      </c>
      <c r="AU44" s="11">
        <v>100</v>
      </c>
      <c r="AV44" s="11">
        <v>0</v>
      </c>
      <c r="AW44" s="11">
        <v>100</v>
      </c>
      <c r="AX44" s="11">
        <f>SUM(AU44:AW44)</f>
        <v>200</v>
      </c>
      <c r="AY44" s="11">
        <f t="shared" si="11"/>
        <v>3530008.01</v>
      </c>
    </row>
    <row r="45" spans="1:51">
      <c r="A45" s="1" t="s">
        <v>108</v>
      </c>
      <c r="B45" s="1" t="s">
        <v>109</v>
      </c>
      <c r="C45" s="11">
        <v>91243.36</v>
      </c>
      <c r="D45" s="11">
        <v>0</v>
      </c>
      <c r="E45" s="11">
        <v>0</v>
      </c>
      <c r="F45" s="11">
        <f t="shared" si="0"/>
        <v>91243.36</v>
      </c>
      <c r="G45" s="11">
        <v>91243.36</v>
      </c>
      <c r="H45" s="11">
        <v>0</v>
      </c>
      <c r="I45" s="11">
        <v>0</v>
      </c>
      <c r="J45" s="11">
        <f t="shared" si="1"/>
        <v>91243.36</v>
      </c>
      <c r="K45" s="11">
        <v>91243.36</v>
      </c>
      <c r="L45" s="11">
        <v>0</v>
      </c>
      <c r="M45" s="11">
        <v>0</v>
      </c>
      <c r="N45" s="11">
        <f t="shared" si="2"/>
        <v>91243.36</v>
      </c>
      <c r="O45" s="11">
        <v>208572.76</v>
      </c>
      <c r="P45" s="11">
        <v>0</v>
      </c>
      <c r="Q45" s="11">
        <v>0</v>
      </c>
      <c r="R45" s="11">
        <f t="shared" si="3"/>
        <v>208572.76</v>
      </c>
      <c r="S45" s="11">
        <v>216531.82</v>
      </c>
      <c r="T45" s="11">
        <v>0</v>
      </c>
      <c r="U45" s="11">
        <v>0</v>
      </c>
      <c r="V45" s="4">
        <f t="shared" si="4"/>
        <v>216531.82</v>
      </c>
      <c r="W45" s="11">
        <v>216531.82</v>
      </c>
      <c r="X45" s="11">
        <v>0</v>
      </c>
      <c r="Y45" s="11">
        <v>0</v>
      </c>
      <c r="Z45" s="4">
        <f t="shared" si="5"/>
        <v>216531.82</v>
      </c>
      <c r="AA45" s="11">
        <v>216531.82</v>
      </c>
      <c r="AB45" s="11">
        <v>0</v>
      </c>
      <c r="AC45" s="11">
        <v>0</v>
      </c>
      <c r="AD45" s="4">
        <f t="shared" si="6"/>
        <v>216531.82</v>
      </c>
      <c r="AE45" s="11">
        <v>216531.82</v>
      </c>
      <c r="AF45" s="11">
        <v>0</v>
      </c>
      <c r="AG45" s="11">
        <v>0</v>
      </c>
      <c r="AH45" s="4">
        <f t="shared" si="7"/>
        <v>216531.82</v>
      </c>
      <c r="AI45" s="11">
        <v>216531.82</v>
      </c>
      <c r="AJ45" s="11">
        <v>0</v>
      </c>
      <c r="AK45" s="11">
        <v>0</v>
      </c>
      <c r="AL45" s="4">
        <f t="shared" si="8"/>
        <v>216531.82</v>
      </c>
      <c r="AM45" s="11">
        <v>216531.82</v>
      </c>
      <c r="AN45" s="11">
        <v>0</v>
      </c>
      <c r="AO45" s="11">
        <v>0</v>
      </c>
      <c r="AP45" s="4">
        <f t="shared" si="9"/>
        <v>216531.82</v>
      </c>
      <c r="AQ45" s="4">
        <f>7008.47-100</f>
        <v>6908.47</v>
      </c>
      <c r="AR45" s="4">
        <v>0</v>
      </c>
      <c r="AS45" s="4">
        <v>0</v>
      </c>
      <c r="AT45" s="4">
        <f t="shared" si="10"/>
        <v>6908.47</v>
      </c>
      <c r="AU45" s="11">
        <v>100</v>
      </c>
      <c r="AV45" s="11">
        <v>0</v>
      </c>
      <c r="AW45" s="11">
        <v>0</v>
      </c>
      <c r="AX45" s="11">
        <f>SUM(AU45:AW45)</f>
        <v>100</v>
      </c>
      <c r="AY45" s="11">
        <f t="shared" si="11"/>
        <v>1788502.2300000002</v>
      </c>
    </row>
    <row r="46" spans="1:51">
      <c r="A46" s="1" t="s">
        <v>110</v>
      </c>
      <c r="B46" s="1" t="s">
        <v>111</v>
      </c>
      <c r="C46" s="11">
        <v>0</v>
      </c>
      <c r="D46" s="11">
        <v>1141288.78</v>
      </c>
      <c r="E46" s="11">
        <v>18209.04</v>
      </c>
      <c r="F46" s="11">
        <f t="shared" si="0"/>
        <v>1159497.82</v>
      </c>
      <c r="G46" s="11">
        <v>0</v>
      </c>
      <c r="H46" s="11">
        <v>1141288.78</v>
      </c>
      <c r="I46" s="11">
        <v>18209.04</v>
      </c>
      <c r="J46" s="11">
        <f t="shared" si="1"/>
        <v>1159497.82</v>
      </c>
      <c r="K46" s="11">
        <v>0</v>
      </c>
      <c r="L46" s="11">
        <v>1141288.78</v>
      </c>
      <c r="M46" s="11">
        <v>18209.04</v>
      </c>
      <c r="N46" s="11">
        <f t="shared" si="2"/>
        <v>1159497.82</v>
      </c>
      <c r="O46" s="11">
        <v>0</v>
      </c>
      <c r="P46" s="11">
        <v>1109720.1499999999</v>
      </c>
      <c r="Q46" s="11">
        <v>17792.95</v>
      </c>
      <c r="R46" s="11">
        <f t="shared" si="3"/>
        <v>1127513.0999999999</v>
      </c>
      <c r="S46" s="11">
        <v>0</v>
      </c>
      <c r="T46" s="11">
        <v>1152066.67</v>
      </c>
      <c r="U46" s="11">
        <v>18471.919999999998</v>
      </c>
      <c r="V46" s="4">
        <f t="shared" si="4"/>
        <v>1170538.5899999999</v>
      </c>
      <c r="W46" s="11">
        <v>0</v>
      </c>
      <c r="X46" s="11">
        <v>1152066.67</v>
      </c>
      <c r="Y46" s="11">
        <v>18471.919999999998</v>
      </c>
      <c r="Z46" s="4">
        <f t="shared" si="5"/>
        <v>1170538.5899999999</v>
      </c>
      <c r="AA46" s="11">
        <v>0</v>
      </c>
      <c r="AB46" s="11">
        <v>1152066.67</v>
      </c>
      <c r="AC46" s="11">
        <v>18471.919999999998</v>
      </c>
      <c r="AD46" s="4">
        <f t="shared" si="6"/>
        <v>1170538.5899999999</v>
      </c>
      <c r="AE46" s="11">
        <v>0</v>
      </c>
      <c r="AF46" s="11">
        <v>1152066.67</v>
      </c>
      <c r="AG46" s="11">
        <v>18471.919999999998</v>
      </c>
      <c r="AH46" s="4">
        <f t="shared" si="7"/>
        <v>1170538.5899999999</v>
      </c>
      <c r="AI46" s="11">
        <v>0</v>
      </c>
      <c r="AJ46" s="11">
        <v>1152066.67</v>
      </c>
      <c r="AK46" s="11">
        <v>18471.919999999998</v>
      </c>
      <c r="AL46" s="4">
        <f t="shared" si="8"/>
        <v>1170538.5899999999</v>
      </c>
      <c r="AM46" s="11">
        <v>0</v>
      </c>
      <c r="AN46" s="11">
        <v>1152066.67</v>
      </c>
      <c r="AO46" s="11">
        <v>18471.919999999998</v>
      </c>
      <c r="AP46" s="4">
        <f t="shared" si="9"/>
        <v>1170538.5899999999</v>
      </c>
      <c r="AQ46" s="4">
        <v>0</v>
      </c>
      <c r="AR46" s="4">
        <f>37288.87-100</f>
        <v>37188.870000000003</v>
      </c>
      <c r="AS46" s="15">
        <f>597.86-100</f>
        <v>497.86</v>
      </c>
      <c r="AT46" s="4">
        <f t="shared" si="10"/>
        <v>37686.730000000003</v>
      </c>
      <c r="AU46" s="11">
        <v>0</v>
      </c>
      <c r="AV46" s="11">
        <v>100</v>
      </c>
      <c r="AW46" s="11">
        <v>100</v>
      </c>
      <c r="AX46" s="11">
        <f>SUM(AU46:AW46)</f>
        <v>200</v>
      </c>
      <c r="AY46" s="11">
        <f t="shared" si="11"/>
        <v>11667124.829999998</v>
      </c>
    </row>
    <row r="47" spans="1:51">
      <c r="A47" s="1" t="s">
        <v>112</v>
      </c>
      <c r="B47" s="1" t="s">
        <v>113</v>
      </c>
      <c r="C47" s="11">
        <v>272911.14</v>
      </c>
      <c r="D47" s="11">
        <v>0</v>
      </c>
      <c r="E47" s="11">
        <v>77612.820000000007</v>
      </c>
      <c r="F47" s="11">
        <f t="shared" si="0"/>
        <v>350523.96</v>
      </c>
      <c r="G47" s="11">
        <v>272911.14</v>
      </c>
      <c r="H47" s="11">
        <v>0</v>
      </c>
      <c r="I47" s="11">
        <v>77612.820000000007</v>
      </c>
      <c r="J47" s="11">
        <f t="shared" si="1"/>
        <v>350523.96</v>
      </c>
      <c r="K47" s="11">
        <v>272911.14</v>
      </c>
      <c r="L47" s="11">
        <v>0</v>
      </c>
      <c r="M47" s="11">
        <v>77612.820000000007</v>
      </c>
      <c r="N47" s="11">
        <f t="shared" si="2"/>
        <v>350523.96</v>
      </c>
      <c r="O47" s="11">
        <v>471771.13</v>
      </c>
      <c r="P47" s="11">
        <v>0</v>
      </c>
      <c r="Q47" s="11">
        <v>75311.429999999993</v>
      </c>
      <c r="R47" s="11">
        <f t="shared" si="3"/>
        <v>547082.56000000006</v>
      </c>
      <c r="S47" s="11">
        <v>489773.75</v>
      </c>
      <c r="T47" s="11">
        <v>0</v>
      </c>
      <c r="U47" s="11">
        <v>78185.279999999999</v>
      </c>
      <c r="V47" s="4">
        <f t="shared" si="4"/>
        <v>567959.03</v>
      </c>
      <c r="W47" s="11">
        <v>489773.75</v>
      </c>
      <c r="X47" s="11">
        <v>0</v>
      </c>
      <c r="Y47" s="11">
        <v>78185.279999999999</v>
      </c>
      <c r="Z47" s="4">
        <f t="shared" si="5"/>
        <v>567959.03</v>
      </c>
      <c r="AA47" s="11">
        <v>489773.75</v>
      </c>
      <c r="AB47" s="11">
        <v>0</v>
      </c>
      <c r="AC47" s="11">
        <v>78185.279999999999</v>
      </c>
      <c r="AD47" s="4">
        <f t="shared" si="6"/>
        <v>567959.03</v>
      </c>
      <c r="AE47" s="11">
        <v>489773.75</v>
      </c>
      <c r="AF47" s="11">
        <v>0</v>
      </c>
      <c r="AG47" s="11">
        <v>78185.279999999999</v>
      </c>
      <c r="AH47" s="4">
        <f t="shared" si="7"/>
        <v>567959.03</v>
      </c>
      <c r="AI47" s="11">
        <v>489773.75</v>
      </c>
      <c r="AJ47" s="11">
        <v>0</v>
      </c>
      <c r="AK47" s="11">
        <v>78185.279999999999</v>
      </c>
      <c r="AL47" s="4">
        <f t="shared" si="8"/>
        <v>567959.03</v>
      </c>
      <c r="AM47" s="11">
        <v>489773.75</v>
      </c>
      <c r="AN47" s="11">
        <v>0</v>
      </c>
      <c r="AO47" s="11">
        <v>78185.279999999999</v>
      </c>
      <c r="AP47" s="4">
        <f t="shared" si="9"/>
        <v>567959.03</v>
      </c>
      <c r="AQ47" s="4">
        <f>15852.48-100</f>
        <v>15752.48</v>
      </c>
      <c r="AR47" s="4">
        <v>0</v>
      </c>
      <c r="AS47" s="4">
        <f>2530.64-100</f>
        <v>2430.64</v>
      </c>
      <c r="AT47" s="4">
        <f t="shared" si="10"/>
        <v>18183.12</v>
      </c>
      <c r="AU47" s="11">
        <v>100</v>
      </c>
      <c r="AV47" s="11">
        <v>0</v>
      </c>
      <c r="AW47" s="11">
        <v>100</v>
      </c>
      <c r="AX47" s="11">
        <f>SUM(AU47:AW47)</f>
        <v>200</v>
      </c>
      <c r="AY47" s="11">
        <f t="shared" si="11"/>
        <v>5024791.7400000012</v>
      </c>
    </row>
    <row r="48" spans="1:51">
      <c r="A48" s="1" t="s">
        <v>114</v>
      </c>
      <c r="B48" s="1" t="s">
        <v>115</v>
      </c>
      <c r="C48" s="11">
        <v>644947.73</v>
      </c>
      <c r="D48" s="11">
        <v>0</v>
      </c>
      <c r="E48" s="11">
        <v>200011.95</v>
      </c>
      <c r="F48" s="11">
        <f t="shared" si="0"/>
        <v>844959.67999999993</v>
      </c>
      <c r="G48" s="11">
        <v>644947.73</v>
      </c>
      <c r="H48" s="11">
        <v>0</v>
      </c>
      <c r="I48" s="11">
        <v>200011.95</v>
      </c>
      <c r="J48" s="11">
        <f t="shared" si="1"/>
        <v>844959.67999999993</v>
      </c>
      <c r="K48" s="11">
        <v>644947.73</v>
      </c>
      <c r="L48" s="11">
        <v>0</v>
      </c>
      <c r="M48" s="11">
        <v>200011.95</v>
      </c>
      <c r="N48" s="11">
        <f t="shared" si="2"/>
        <v>844959.67999999993</v>
      </c>
      <c r="O48" s="11">
        <v>2142940.4500000002</v>
      </c>
      <c r="P48" s="11">
        <v>0</v>
      </c>
      <c r="Q48" s="11">
        <v>187686.88</v>
      </c>
      <c r="R48" s="11">
        <f t="shared" si="3"/>
        <v>2330627.33</v>
      </c>
      <c r="S48" s="11">
        <v>2224714.29</v>
      </c>
      <c r="T48" s="11">
        <v>0</v>
      </c>
      <c r="U48" s="11">
        <v>149380.74</v>
      </c>
      <c r="V48" s="4">
        <f t="shared" si="4"/>
        <v>2374095.0300000003</v>
      </c>
      <c r="W48" s="11">
        <v>2224714.29</v>
      </c>
      <c r="X48" s="11">
        <v>0</v>
      </c>
      <c r="Y48" s="11">
        <v>149380.74</v>
      </c>
      <c r="Z48" s="4">
        <f t="shared" si="5"/>
        <v>2374095.0300000003</v>
      </c>
      <c r="AA48" s="11">
        <v>2224714.29</v>
      </c>
      <c r="AB48" s="11">
        <v>0</v>
      </c>
      <c r="AC48" s="11">
        <v>149380.74</v>
      </c>
      <c r="AD48" s="4">
        <f t="shared" si="6"/>
        <v>2374095.0300000003</v>
      </c>
      <c r="AE48" s="11">
        <v>2224714.29</v>
      </c>
      <c r="AF48" s="11">
        <v>0</v>
      </c>
      <c r="AG48" s="11">
        <v>149380.74</v>
      </c>
      <c r="AH48" s="4">
        <f t="shared" si="7"/>
        <v>2374095.0300000003</v>
      </c>
      <c r="AI48" s="11">
        <v>2224714.29</v>
      </c>
      <c r="AJ48" s="11">
        <v>0</v>
      </c>
      <c r="AK48" s="11">
        <v>149380.74</v>
      </c>
      <c r="AL48" s="4">
        <f t="shared" si="8"/>
        <v>2374095.0300000003</v>
      </c>
      <c r="AM48" s="11">
        <v>2224714.29</v>
      </c>
      <c r="AN48" s="11">
        <v>0</v>
      </c>
      <c r="AO48" s="11">
        <v>149380.74</v>
      </c>
      <c r="AP48" s="4">
        <f t="shared" si="9"/>
        <v>2374095.0300000003</v>
      </c>
      <c r="AQ48" s="4">
        <f>72007.21-100</f>
        <v>71907.210000000006</v>
      </c>
      <c r="AR48" s="4">
        <v>0</v>
      </c>
      <c r="AS48" s="4">
        <f>6498.42-100</f>
        <v>6398.42</v>
      </c>
      <c r="AT48" s="4">
        <f t="shared" si="10"/>
        <v>78305.63</v>
      </c>
      <c r="AU48" s="11">
        <v>100</v>
      </c>
      <c r="AV48" s="11">
        <v>0</v>
      </c>
      <c r="AW48" s="11">
        <v>100</v>
      </c>
      <c r="AX48" s="11">
        <f>SUM(AU48:AW48)</f>
        <v>200</v>
      </c>
      <c r="AY48" s="11">
        <f t="shared" si="11"/>
        <v>19188582.180000003</v>
      </c>
    </row>
    <row r="49" spans="1:51">
      <c r="A49" s="1" t="s">
        <v>116</v>
      </c>
      <c r="B49" s="1" t="s">
        <v>117</v>
      </c>
      <c r="C49" s="11">
        <v>0</v>
      </c>
      <c r="D49" s="11">
        <v>0</v>
      </c>
      <c r="E49" s="11">
        <v>294114.5</v>
      </c>
      <c r="F49" s="11">
        <f t="shared" si="0"/>
        <v>294114.5</v>
      </c>
      <c r="G49" s="11">
        <v>0</v>
      </c>
      <c r="H49" s="11">
        <v>0</v>
      </c>
      <c r="I49" s="11">
        <v>294114.5</v>
      </c>
      <c r="J49" s="11">
        <f t="shared" si="1"/>
        <v>294114.5</v>
      </c>
      <c r="K49" s="11">
        <v>0</v>
      </c>
      <c r="L49" s="11">
        <v>0</v>
      </c>
      <c r="M49" s="11">
        <v>294114.5</v>
      </c>
      <c r="N49" s="11">
        <f t="shared" si="2"/>
        <v>294114.5</v>
      </c>
      <c r="O49" s="11">
        <v>0</v>
      </c>
      <c r="P49" s="11">
        <v>0</v>
      </c>
      <c r="Q49" s="11">
        <v>275542.09999999998</v>
      </c>
      <c r="R49" s="11">
        <f t="shared" si="3"/>
        <v>275542.09999999998</v>
      </c>
      <c r="S49" s="11">
        <v>32964.660000000003</v>
      </c>
      <c r="T49" s="11">
        <v>0</v>
      </c>
      <c r="U49" s="11">
        <v>371873.69</v>
      </c>
      <c r="V49" s="4">
        <f t="shared" si="4"/>
        <v>404838.35</v>
      </c>
      <c r="W49" s="11">
        <v>32964.660000000003</v>
      </c>
      <c r="X49" s="11">
        <v>0</v>
      </c>
      <c r="Y49" s="11">
        <v>371873.69</v>
      </c>
      <c r="Z49" s="4">
        <f t="shared" si="5"/>
        <v>404838.35</v>
      </c>
      <c r="AA49" s="11">
        <v>32964.660000000003</v>
      </c>
      <c r="AB49" s="11">
        <v>0</v>
      </c>
      <c r="AC49" s="11">
        <v>371873.69</v>
      </c>
      <c r="AD49" s="4">
        <f t="shared" si="6"/>
        <v>404838.35</v>
      </c>
      <c r="AE49" s="11">
        <v>32964.660000000003</v>
      </c>
      <c r="AF49" s="11">
        <v>0</v>
      </c>
      <c r="AG49" s="11">
        <v>371873.69</v>
      </c>
      <c r="AH49" s="4">
        <f t="shared" si="7"/>
        <v>404838.35</v>
      </c>
      <c r="AI49" s="11">
        <v>32964.660000000003</v>
      </c>
      <c r="AJ49" s="11">
        <v>0</v>
      </c>
      <c r="AK49" s="11">
        <v>371873.69</v>
      </c>
      <c r="AL49" s="4">
        <f t="shared" si="8"/>
        <v>404838.35</v>
      </c>
      <c r="AM49" s="11">
        <v>32964.660000000003</v>
      </c>
      <c r="AN49" s="11">
        <v>0</v>
      </c>
      <c r="AO49" s="11">
        <v>371873.69</v>
      </c>
      <c r="AP49" s="4">
        <f t="shared" si="9"/>
        <v>404838.35</v>
      </c>
      <c r="AQ49" s="4">
        <f>32819.95-100</f>
        <v>32719.949999999997</v>
      </c>
      <c r="AR49" s="4">
        <v>0</v>
      </c>
      <c r="AS49" s="4">
        <f>94699.05-100</f>
        <v>94599.05</v>
      </c>
      <c r="AT49" s="4">
        <f t="shared" si="10"/>
        <v>127319</v>
      </c>
      <c r="AU49" s="11">
        <v>100</v>
      </c>
      <c r="AV49" s="11">
        <v>0</v>
      </c>
      <c r="AW49" s="11">
        <v>100</v>
      </c>
      <c r="AX49" s="11">
        <f>SUM(AU49:AW49)</f>
        <v>200</v>
      </c>
      <c r="AY49" s="11">
        <f t="shared" si="11"/>
        <v>3714434.7000000007</v>
      </c>
    </row>
    <row r="50" spans="1:51">
      <c r="A50" s="1" t="s">
        <v>118</v>
      </c>
      <c r="B50" s="1" t="s">
        <v>119</v>
      </c>
      <c r="C50" s="11">
        <v>0</v>
      </c>
      <c r="D50" s="11">
        <v>0</v>
      </c>
      <c r="E50" s="11">
        <v>146610.69</v>
      </c>
      <c r="F50" s="11">
        <f t="shared" si="0"/>
        <v>146610.69</v>
      </c>
      <c r="G50" s="11">
        <v>0</v>
      </c>
      <c r="H50" s="11">
        <v>0</v>
      </c>
      <c r="I50" s="11">
        <v>146610.69</v>
      </c>
      <c r="J50" s="11">
        <f t="shared" si="1"/>
        <v>146610.69</v>
      </c>
      <c r="K50" s="11">
        <v>0</v>
      </c>
      <c r="L50" s="11">
        <v>0</v>
      </c>
      <c r="M50" s="11">
        <v>146610.69</v>
      </c>
      <c r="N50" s="11">
        <f t="shared" si="2"/>
        <v>146610.69</v>
      </c>
      <c r="O50" s="11">
        <v>0</v>
      </c>
      <c r="P50" s="11">
        <v>0</v>
      </c>
      <c r="Q50" s="11">
        <v>140077.63</v>
      </c>
      <c r="R50" s="11">
        <f t="shared" si="3"/>
        <v>140077.63</v>
      </c>
      <c r="S50" s="11">
        <v>0</v>
      </c>
      <c r="T50" s="11">
        <v>0</v>
      </c>
      <c r="U50" s="11">
        <v>145422.94</v>
      </c>
      <c r="V50" s="4">
        <f t="shared" si="4"/>
        <v>145422.94</v>
      </c>
      <c r="W50" s="11">
        <v>0</v>
      </c>
      <c r="X50" s="11">
        <v>0</v>
      </c>
      <c r="Y50" s="11">
        <v>145422.94</v>
      </c>
      <c r="Z50" s="4">
        <f t="shared" si="5"/>
        <v>145422.94</v>
      </c>
      <c r="AA50" s="11">
        <v>0</v>
      </c>
      <c r="AB50" s="11">
        <v>0</v>
      </c>
      <c r="AC50" s="11">
        <v>145422.94</v>
      </c>
      <c r="AD50" s="4">
        <f t="shared" si="6"/>
        <v>145422.94</v>
      </c>
      <c r="AE50" s="11">
        <v>0</v>
      </c>
      <c r="AF50" s="11">
        <v>0</v>
      </c>
      <c r="AG50" s="11">
        <v>145422.94</v>
      </c>
      <c r="AH50" s="4">
        <f t="shared" si="7"/>
        <v>145422.94</v>
      </c>
      <c r="AI50" s="11">
        <v>0</v>
      </c>
      <c r="AJ50" s="11">
        <v>0</v>
      </c>
      <c r="AK50" s="11">
        <v>145422.94</v>
      </c>
      <c r="AL50" s="4">
        <f t="shared" si="8"/>
        <v>145422.94</v>
      </c>
      <c r="AM50" s="11">
        <v>0</v>
      </c>
      <c r="AN50" s="11">
        <v>0</v>
      </c>
      <c r="AO50" s="11">
        <v>145422.94</v>
      </c>
      <c r="AP50" s="4">
        <f t="shared" si="9"/>
        <v>145422.94</v>
      </c>
      <c r="AQ50" s="4">
        <v>0</v>
      </c>
      <c r="AR50" s="4">
        <v>0</v>
      </c>
      <c r="AS50" s="4">
        <f>4706.9-100+0.03</f>
        <v>4606.9299999999994</v>
      </c>
      <c r="AT50" s="4">
        <f t="shared" si="10"/>
        <v>4606.9299999999994</v>
      </c>
      <c r="AU50" s="11">
        <v>0</v>
      </c>
      <c r="AV50" s="11">
        <v>0</v>
      </c>
      <c r="AW50" s="11">
        <v>100</v>
      </c>
      <c r="AX50" s="11">
        <f>SUM(AU50:AW50)</f>
        <v>100</v>
      </c>
      <c r="AY50" s="11">
        <f t="shared" si="11"/>
        <v>1457154.2699999996</v>
      </c>
    </row>
    <row r="51" spans="1:51">
      <c r="A51" s="1" t="s">
        <v>120</v>
      </c>
      <c r="B51" s="1" t="s">
        <v>121</v>
      </c>
      <c r="C51" s="11">
        <v>459180.19</v>
      </c>
      <c r="D51" s="11">
        <v>0</v>
      </c>
      <c r="E51" s="11">
        <v>5827.99</v>
      </c>
      <c r="F51" s="11">
        <f t="shared" si="0"/>
        <v>465008.18</v>
      </c>
      <c r="G51" s="11">
        <v>459180.19</v>
      </c>
      <c r="H51" s="11">
        <v>0</v>
      </c>
      <c r="I51" s="11">
        <v>5827.99</v>
      </c>
      <c r="J51" s="11">
        <f t="shared" si="1"/>
        <v>465008.18</v>
      </c>
      <c r="K51" s="11">
        <v>459180.19</v>
      </c>
      <c r="L51" s="11">
        <v>0</v>
      </c>
      <c r="M51" s="11">
        <v>5827.99</v>
      </c>
      <c r="N51" s="11">
        <f t="shared" si="2"/>
        <v>465008.18</v>
      </c>
      <c r="O51" s="11">
        <v>1202052.1399999999</v>
      </c>
      <c r="P51" s="11">
        <v>0</v>
      </c>
      <c r="Q51" s="11">
        <v>5445.74</v>
      </c>
      <c r="R51" s="11">
        <f t="shared" si="3"/>
        <v>1207497.8799999999</v>
      </c>
      <c r="S51" s="11">
        <v>973890.07</v>
      </c>
      <c r="T51" s="11">
        <v>0</v>
      </c>
      <c r="U51" s="11">
        <v>5653.55</v>
      </c>
      <c r="V51" s="4">
        <f t="shared" si="4"/>
        <v>979543.62</v>
      </c>
      <c r="W51" s="11">
        <v>973890.07</v>
      </c>
      <c r="X51" s="11">
        <v>0</v>
      </c>
      <c r="Y51" s="11">
        <v>5653.55</v>
      </c>
      <c r="Z51" s="4">
        <f t="shared" si="5"/>
        <v>979543.62</v>
      </c>
      <c r="AA51" s="11">
        <v>973890.07</v>
      </c>
      <c r="AB51" s="11">
        <v>0</v>
      </c>
      <c r="AC51" s="11">
        <v>5653.55</v>
      </c>
      <c r="AD51" s="4">
        <f t="shared" si="6"/>
        <v>979543.62</v>
      </c>
      <c r="AE51" s="11">
        <v>973890.07</v>
      </c>
      <c r="AF51" s="11">
        <v>0</v>
      </c>
      <c r="AG51" s="11">
        <v>5653.55</v>
      </c>
      <c r="AH51" s="4">
        <f t="shared" si="7"/>
        <v>979543.62</v>
      </c>
      <c r="AI51" s="11">
        <v>973890.07</v>
      </c>
      <c r="AJ51" s="11">
        <v>0</v>
      </c>
      <c r="AK51" s="11">
        <v>5653.55</v>
      </c>
      <c r="AL51" s="4">
        <f t="shared" si="8"/>
        <v>979543.62</v>
      </c>
      <c r="AM51" s="11">
        <v>973890.07</v>
      </c>
      <c r="AN51" s="11">
        <v>0</v>
      </c>
      <c r="AO51" s="11">
        <v>5653.55</v>
      </c>
      <c r="AP51" s="4">
        <f t="shared" si="9"/>
        <v>979543.62</v>
      </c>
      <c r="AQ51" s="4">
        <f>38767.97-100</f>
        <v>38667.97</v>
      </c>
      <c r="AR51" s="4">
        <v>0</v>
      </c>
      <c r="AS51" s="4">
        <v>100</v>
      </c>
      <c r="AT51" s="4">
        <f t="shared" si="10"/>
        <v>38767.97</v>
      </c>
      <c r="AU51" s="11">
        <v>100</v>
      </c>
      <c r="AV51" s="11">
        <v>0</v>
      </c>
      <c r="AW51" s="11">
        <v>83</v>
      </c>
      <c r="AX51" s="11">
        <f>SUM(AU51:AW51)</f>
        <v>183</v>
      </c>
      <c r="AY51" s="11">
        <f t="shared" si="11"/>
        <v>8518735.1100000013</v>
      </c>
    </row>
    <row r="52" spans="1:51">
      <c r="A52" s="1" t="s">
        <v>122</v>
      </c>
      <c r="B52" s="1" t="s">
        <v>123</v>
      </c>
      <c r="C52" s="11">
        <v>36092.51</v>
      </c>
      <c r="D52" s="11">
        <v>0</v>
      </c>
      <c r="E52" s="11">
        <v>0</v>
      </c>
      <c r="F52" s="11">
        <f t="shared" si="0"/>
        <v>36092.51</v>
      </c>
      <c r="G52" s="11">
        <v>36092.51</v>
      </c>
      <c r="H52" s="11">
        <v>0</v>
      </c>
      <c r="I52" s="11">
        <v>0</v>
      </c>
      <c r="J52" s="11">
        <f t="shared" si="1"/>
        <v>36092.51</v>
      </c>
      <c r="K52" s="11">
        <v>36092.51</v>
      </c>
      <c r="L52" s="11">
        <v>0</v>
      </c>
      <c r="M52" s="11">
        <v>0</v>
      </c>
      <c r="N52" s="11">
        <f t="shared" si="2"/>
        <v>36092.51</v>
      </c>
      <c r="O52" s="11">
        <v>104590.53</v>
      </c>
      <c r="P52" s="11">
        <v>0</v>
      </c>
      <c r="Q52" s="11">
        <v>0</v>
      </c>
      <c r="R52" s="11">
        <f t="shared" si="3"/>
        <v>104590.53</v>
      </c>
      <c r="S52" s="11">
        <v>108581.66</v>
      </c>
      <c r="T52" s="11">
        <v>0</v>
      </c>
      <c r="U52" s="11">
        <v>0</v>
      </c>
      <c r="V52" s="4">
        <f t="shared" si="4"/>
        <v>108581.66</v>
      </c>
      <c r="W52" s="11">
        <v>108581.66</v>
      </c>
      <c r="X52" s="11">
        <v>0</v>
      </c>
      <c r="Y52" s="11">
        <v>0</v>
      </c>
      <c r="Z52" s="4">
        <f t="shared" si="5"/>
        <v>108581.66</v>
      </c>
      <c r="AA52" s="11">
        <v>108581.66</v>
      </c>
      <c r="AB52" s="11">
        <v>0</v>
      </c>
      <c r="AC52" s="11">
        <v>0</v>
      </c>
      <c r="AD52" s="4">
        <f t="shared" si="6"/>
        <v>108581.66</v>
      </c>
      <c r="AE52" s="11">
        <v>108581.66</v>
      </c>
      <c r="AF52" s="11">
        <v>0</v>
      </c>
      <c r="AG52" s="11">
        <v>0</v>
      </c>
      <c r="AH52" s="4">
        <f t="shared" si="7"/>
        <v>108581.66</v>
      </c>
      <c r="AI52" s="11">
        <v>108581.66</v>
      </c>
      <c r="AJ52" s="11">
        <v>0</v>
      </c>
      <c r="AK52" s="11">
        <v>0</v>
      </c>
      <c r="AL52" s="4">
        <f t="shared" si="8"/>
        <v>108581.66</v>
      </c>
      <c r="AM52" s="11">
        <v>108581.66</v>
      </c>
      <c r="AN52" s="11">
        <v>0</v>
      </c>
      <c r="AO52" s="11">
        <v>0</v>
      </c>
      <c r="AP52" s="4">
        <f t="shared" si="9"/>
        <v>108581.66</v>
      </c>
      <c r="AQ52" s="4">
        <f>3514.48-100</f>
        <v>3414.48</v>
      </c>
      <c r="AR52" s="4">
        <v>0</v>
      </c>
      <c r="AS52" s="4">
        <v>0</v>
      </c>
      <c r="AT52" s="4">
        <f t="shared" si="10"/>
        <v>3414.48</v>
      </c>
      <c r="AU52" s="11">
        <v>100</v>
      </c>
      <c r="AV52" s="11">
        <v>0</v>
      </c>
      <c r="AW52" s="11">
        <v>0</v>
      </c>
      <c r="AX52" s="11">
        <f>SUM(AU52:AW52)</f>
        <v>100</v>
      </c>
      <c r="AY52" s="11">
        <f t="shared" si="11"/>
        <v>867872.50000000012</v>
      </c>
    </row>
    <row r="53" spans="1:51">
      <c r="A53" s="1" t="s">
        <v>124</v>
      </c>
      <c r="B53" s="1" t="s">
        <v>125</v>
      </c>
      <c r="C53" s="11">
        <v>0</v>
      </c>
      <c r="D53" s="11">
        <v>0</v>
      </c>
      <c r="E53" s="11">
        <v>373914.79</v>
      </c>
      <c r="F53" s="11">
        <f t="shared" si="0"/>
        <v>373914.79</v>
      </c>
      <c r="G53" s="11">
        <v>0</v>
      </c>
      <c r="H53" s="11">
        <v>0</v>
      </c>
      <c r="I53" s="11">
        <v>373914.79</v>
      </c>
      <c r="J53" s="11">
        <f t="shared" si="1"/>
        <v>373914.79</v>
      </c>
      <c r="K53" s="11">
        <v>0</v>
      </c>
      <c r="L53" s="11">
        <v>0</v>
      </c>
      <c r="M53" s="11">
        <v>373914.79</v>
      </c>
      <c r="N53" s="11">
        <f t="shared" si="2"/>
        <v>373914.79</v>
      </c>
      <c r="O53" s="11">
        <v>0</v>
      </c>
      <c r="P53" s="11">
        <v>0</v>
      </c>
      <c r="Q53" s="11">
        <v>353157.93</v>
      </c>
      <c r="R53" s="11">
        <f t="shared" si="3"/>
        <v>353157.93</v>
      </c>
      <c r="S53" s="11">
        <v>0</v>
      </c>
      <c r="T53" s="11">
        <v>0</v>
      </c>
      <c r="U53" s="11">
        <v>366634.31</v>
      </c>
      <c r="V53" s="4">
        <f t="shared" si="4"/>
        <v>366634.31</v>
      </c>
      <c r="W53" s="11">
        <v>0</v>
      </c>
      <c r="X53" s="11">
        <v>0</v>
      </c>
      <c r="Y53" s="11">
        <v>366634.31</v>
      </c>
      <c r="Z53" s="4">
        <f t="shared" si="5"/>
        <v>366634.31</v>
      </c>
      <c r="AA53" s="11">
        <v>0</v>
      </c>
      <c r="AB53" s="11">
        <v>0</v>
      </c>
      <c r="AC53" s="11">
        <v>366634.31</v>
      </c>
      <c r="AD53" s="4">
        <f t="shared" si="6"/>
        <v>366634.31</v>
      </c>
      <c r="AE53" s="11">
        <v>0</v>
      </c>
      <c r="AF53" s="11">
        <v>0</v>
      </c>
      <c r="AG53" s="11">
        <v>366634.31</v>
      </c>
      <c r="AH53" s="4">
        <f t="shared" si="7"/>
        <v>366634.31</v>
      </c>
      <c r="AI53" s="11">
        <v>0</v>
      </c>
      <c r="AJ53" s="11">
        <v>0</v>
      </c>
      <c r="AK53" s="11">
        <v>366634.31</v>
      </c>
      <c r="AL53" s="4">
        <f t="shared" si="8"/>
        <v>366634.31</v>
      </c>
      <c r="AM53" s="11">
        <v>0</v>
      </c>
      <c r="AN53" s="11">
        <v>0</v>
      </c>
      <c r="AO53" s="11">
        <v>366634.31</v>
      </c>
      <c r="AP53" s="4">
        <f t="shared" si="9"/>
        <v>366634.31</v>
      </c>
      <c r="AQ53" s="4">
        <v>0</v>
      </c>
      <c r="AR53" s="4">
        <v>0</v>
      </c>
      <c r="AS53" s="4">
        <f>11866.8-100</f>
        <v>11766.8</v>
      </c>
      <c r="AT53" s="4">
        <f t="shared" si="10"/>
        <v>11766.8</v>
      </c>
      <c r="AU53" s="11">
        <v>0</v>
      </c>
      <c r="AV53" s="11">
        <v>0</v>
      </c>
      <c r="AW53" s="11">
        <v>100</v>
      </c>
      <c r="AX53" s="11">
        <f>SUM(AU53:AW53)</f>
        <v>100</v>
      </c>
      <c r="AY53" s="11">
        <f t="shared" si="11"/>
        <v>3686574.96</v>
      </c>
    </row>
    <row r="54" spans="1:51">
      <c r="A54" s="1" t="s">
        <v>126</v>
      </c>
      <c r="B54" s="1" t="s">
        <v>127</v>
      </c>
      <c r="C54" s="11">
        <v>6872.67</v>
      </c>
      <c r="D54" s="11">
        <v>0</v>
      </c>
      <c r="E54" s="11">
        <v>28806.16</v>
      </c>
      <c r="F54" s="11">
        <f t="shared" si="0"/>
        <v>35678.83</v>
      </c>
      <c r="G54" s="11">
        <v>6872.67</v>
      </c>
      <c r="H54" s="11">
        <v>0</v>
      </c>
      <c r="I54" s="11">
        <v>28806.16</v>
      </c>
      <c r="J54" s="11">
        <f t="shared" si="1"/>
        <v>35678.83</v>
      </c>
      <c r="K54" s="11">
        <v>6872.67</v>
      </c>
      <c r="L54" s="11">
        <v>0</v>
      </c>
      <c r="M54" s="11">
        <v>28806.16</v>
      </c>
      <c r="N54" s="11">
        <f t="shared" si="2"/>
        <v>35678.83</v>
      </c>
      <c r="O54" s="11">
        <v>202146.54</v>
      </c>
      <c r="P54" s="11">
        <v>0</v>
      </c>
      <c r="Q54" s="11">
        <v>25963.17</v>
      </c>
      <c r="R54" s="11">
        <f t="shared" si="3"/>
        <v>228109.71000000002</v>
      </c>
      <c r="S54" s="11">
        <v>188341.78</v>
      </c>
      <c r="T54" s="11">
        <v>0</v>
      </c>
      <c r="U54" s="11">
        <v>26953.919999999998</v>
      </c>
      <c r="V54" s="4">
        <f t="shared" si="4"/>
        <v>215295.7</v>
      </c>
      <c r="W54" s="11">
        <v>188341.78</v>
      </c>
      <c r="X54" s="11">
        <v>0</v>
      </c>
      <c r="Y54" s="11">
        <v>26953.919999999998</v>
      </c>
      <c r="Z54" s="4">
        <f t="shared" si="5"/>
        <v>215295.7</v>
      </c>
      <c r="AA54" s="11">
        <v>188341.78</v>
      </c>
      <c r="AB54" s="11">
        <v>0</v>
      </c>
      <c r="AC54" s="11">
        <v>26953.919999999998</v>
      </c>
      <c r="AD54" s="4">
        <f t="shared" si="6"/>
        <v>215295.7</v>
      </c>
      <c r="AE54" s="11">
        <v>188341.78</v>
      </c>
      <c r="AF54" s="11">
        <v>0</v>
      </c>
      <c r="AG54" s="11">
        <v>26953.919999999998</v>
      </c>
      <c r="AH54" s="4">
        <f t="shared" si="7"/>
        <v>215295.7</v>
      </c>
      <c r="AI54" s="11">
        <v>188341.78</v>
      </c>
      <c r="AJ54" s="11">
        <v>0</v>
      </c>
      <c r="AK54" s="11">
        <v>26953.919999999998</v>
      </c>
      <c r="AL54" s="4">
        <f t="shared" si="8"/>
        <v>215295.7</v>
      </c>
      <c r="AM54" s="11">
        <v>188341.78</v>
      </c>
      <c r="AN54" s="11">
        <v>0</v>
      </c>
      <c r="AO54" s="11">
        <v>26953.919999999998</v>
      </c>
      <c r="AP54" s="4">
        <f t="shared" si="9"/>
        <v>215295.7</v>
      </c>
      <c r="AQ54" s="4">
        <f>2440.35-100</f>
        <v>2340.35</v>
      </c>
      <c r="AR54" s="4">
        <v>0</v>
      </c>
      <c r="AS54" s="4">
        <f>872.41-100</f>
        <v>772.41</v>
      </c>
      <c r="AT54" s="4">
        <f t="shared" si="10"/>
        <v>3112.7599999999998</v>
      </c>
      <c r="AU54" s="11">
        <v>100</v>
      </c>
      <c r="AV54" s="11">
        <v>0</v>
      </c>
      <c r="AW54" s="11">
        <v>100</v>
      </c>
      <c r="AX54" s="11">
        <f>SUM(AU54:AW54)</f>
        <v>200</v>
      </c>
      <c r="AY54" s="11">
        <f t="shared" si="11"/>
        <v>1630233.16</v>
      </c>
    </row>
    <row r="55" spans="1:51">
      <c r="A55" s="1" t="s">
        <v>128</v>
      </c>
      <c r="B55" s="1" t="s">
        <v>129</v>
      </c>
      <c r="C55" s="11">
        <v>0</v>
      </c>
      <c r="D55" s="11">
        <v>0</v>
      </c>
      <c r="E55" s="11">
        <v>12883.31</v>
      </c>
      <c r="F55" s="11">
        <f t="shared" si="0"/>
        <v>12883.31</v>
      </c>
      <c r="G55" s="11">
        <v>0</v>
      </c>
      <c r="H55" s="11">
        <v>0</v>
      </c>
      <c r="I55" s="11">
        <v>12883.31</v>
      </c>
      <c r="J55" s="11">
        <f t="shared" si="1"/>
        <v>12883.31</v>
      </c>
      <c r="K55" s="11">
        <v>0</v>
      </c>
      <c r="L55" s="11">
        <v>0</v>
      </c>
      <c r="M55" s="11">
        <v>12883.31</v>
      </c>
      <c r="N55" s="11">
        <f t="shared" si="2"/>
        <v>12883.31</v>
      </c>
      <c r="O55" s="11">
        <v>0</v>
      </c>
      <c r="P55" s="11">
        <v>0</v>
      </c>
      <c r="Q55" s="11">
        <v>11823.15</v>
      </c>
      <c r="R55" s="11">
        <f t="shared" si="3"/>
        <v>11823.15</v>
      </c>
      <c r="S55" s="11">
        <v>0</v>
      </c>
      <c r="T55" s="11">
        <v>0</v>
      </c>
      <c r="U55" s="11">
        <v>12274.31</v>
      </c>
      <c r="V55" s="4">
        <f t="shared" si="4"/>
        <v>12274.31</v>
      </c>
      <c r="W55" s="11">
        <v>0</v>
      </c>
      <c r="X55" s="11">
        <v>0</v>
      </c>
      <c r="Y55" s="11">
        <v>12274.31</v>
      </c>
      <c r="Z55" s="4">
        <f t="shared" si="5"/>
        <v>12274.31</v>
      </c>
      <c r="AA55" s="11">
        <v>0</v>
      </c>
      <c r="AB55" s="11">
        <v>0</v>
      </c>
      <c r="AC55" s="11">
        <v>12274.31</v>
      </c>
      <c r="AD55" s="4">
        <f t="shared" si="6"/>
        <v>12274.31</v>
      </c>
      <c r="AE55" s="11">
        <v>0</v>
      </c>
      <c r="AF55" s="11">
        <v>0</v>
      </c>
      <c r="AG55" s="11">
        <v>12274.31</v>
      </c>
      <c r="AH55" s="4">
        <f t="shared" si="7"/>
        <v>12274.31</v>
      </c>
      <c r="AI55" s="11">
        <v>0</v>
      </c>
      <c r="AJ55" s="11">
        <v>0</v>
      </c>
      <c r="AK55" s="11">
        <v>12274.31</v>
      </c>
      <c r="AL55" s="4">
        <f t="shared" si="8"/>
        <v>12274.31</v>
      </c>
      <c r="AM55" s="11">
        <v>0</v>
      </c>
      <c r="AN55" s="11">
        <v>0</v>
      </c>
      <c r="AO55" s="11">
        <v>12274.31</v>
      </c>
      <c r="AP55" s="4">
        <f t="shared" si="9"/>
        <v>12274.31</v>
      </c>
      <c r="AQ55" s="4">
        <v>0</v>
      </c>
      <c r="AR55" s="4">
        <v>0</v>
      </c>
      <c r="AS55" s="4">
        <v>297.3</v>
      </c>
      <c r="AT55" s="4">
        <f t="shared" si="10"/>
        <v>297.3</v>
      </c>
      <c r="AU55" s="11">
        <v>0</v>
      </c>
      <c r="AV55" s="11">
        <v>0</v>
      </c>
      <c r="AW55" s="11">
        <v>100</v>
      </c>
      <c r="AX55" s="11">
        <f>SUM(AU55:AW55)</f>
        <v>100</v>
      </c>
      <c r="AY55" s="11">
        <f t="shared" si="11"/>
        <v>124516.23999999999</v>
      </c>
    </row>
    <row r="56" spans="1:51">
      <c r="A56" s="1" t="s">
        <v>130</v>
      </c>
      <c r="B56" s="1" t="s">
        <v>131</v>
      </c>
      <c r="C56" s="11">
        <v>0</v>
      </c>
      <c r="D56" s="11">
        <v>0</v>
      </c>
      <c r="E56" s="11">
        <v>50553.16</v>
      </c>
      <c r="F56" s="11">
        <f t="shared" si="0"/>
        <v>50553.16</v>
      </c>
      <c r="G56" s="11">
        <v>0</v>
      </c>
      <c r="H56" s="11">
        <v>0</v>
      </c>
      <c r="I56" s="11">
        <v>50553.16</v>
      </c>
      <c r="J56" s="11">
        <f t="shared" si="1"/>
        <v>50553.16</v>
      </c>
      <c r="K56" s="11">
        <v>0</v>
      </c>
      <c r="L56" s="11">
        <v>0</v>
      </c>
      <c r="M56" s="11">
        <v>50553.16</v>
      </c>
      <c r="N56" s="11">
        <f t="shared" si="2"/>
        <v>50553.16</v>
      </c>
      <c r="O56" s="11">
        <v>0</v>
      </c>
      <c r="P56" s="11">
        <v>0</v>
      </c>
      <c r="Q56" s="11">
        <v>48741.72</v>
      </c>
      <c r="R56" s="11">
        <f t="shared" si="3"/>
        <v>48741.72</v>
      </c>
      <c r="S56" s="11">
        <v>0</v>
      </c>
      <c r="T56" s="11">
        <v>0</v>
      </c>
      <c r="U56" s="11">
        <v>50601.68</v>
      </c>
      <c r="V56" s="4">
        <f t="shared" si="4"/>
        <v>50601.68</v>
      </c>
      <c r="W56" s="11">
        <v>0</v>
      </c>
      <c r="X56" s="11">
        <v>0</v>
      </c>
      <c r="Y56" s="11">
        <v>50601.68</v>
      </c>
      <c r="Z56" s="4">
        <f t="shared" si="5"/>
        <v>50601.68</v>
      </c>
      <c r="AA56" s="11">
        <v>0</v>
      </c>
      <c r="AB56" s="11">
        <v>0</v>
      </c>
      <c r="AC56" s="11">
        <v>50601.68</v>
      </c>
      <c r="AD56" s="4">
        <f t="shared" si="6"/>
        <v>50601.68</v>
      </c>
      <c r="AE56" s="11">
        <v>0</v>
      </c>
      <c r="AF56" s="11">
        <v>0</v>
      </c>
      <c r="AG56" s="11">
        <v>50601.68</v>
      </c>
      <c r="AH56" s="4">
        <f t="shared" si="7"/>
        <v>50601.68</v>
      </c>
      <c r="AI56" s="11">
        <v>0</v>
      </c>
      <c r="AJ56" s="11">
        <v>0</v>
      </c>
      <c r="AK56" s="11">
        <v>50601.68</v>
      </c>
      <c r="AL56" s="4">
        <f t="shared" si="8"/>
        <v>50601.68</v>
      </c>
      <c r="AM56" s="11">
        <v>0</v>
      </c>
      <c r="AN56" s="11">
        <v>0</v>
      </c>
      <c r="AO56" s="11">
        <v>50601.68</v>
      </c>
      <c r="AP56" s="4">
        <f t="shared" si="9"/>
        <v>50601.68</v>
      </c>
      <c r="AQ56" s="4">
        <v>0</v>
      </c>
      <c r="AR56" s="4">
        <v>0</v>
      </c>
      <c r="AS56" s="4">
        <f>1637.85-100</f>
        <v>1537.85</v>
      </c>
      <c r="AT56" s="4">
        <f t="shared" si="10"/>
        <v>1537.85</v>
      </c>
      <c r="AU56" s="11">
        <v>0</v>
      </c>
      <c r="AV56" s="11">
        <v>0</v>
      </c>
      <c r="AW56" s="11">
        <v>100</v>
      </c>
      <c r="AX56" s="11">
        <f>SUM(AU56:AW56)</f>
        <v>100</v>
      </c>
      <c r="AY56" s="11">
        <f t="shared" si="11"/>
        <v>505649.12999999995</v>
      </c>
    </row>
    <row r="57" spans="1:51">
      <c r="A57" s="1" t="s">
        <v>132</v>
      </c>
      <c r="B57" s="1" t="s">
        <v>133</v>
      </c>
      <c r="C57" s="11">
        <v>303159.62</v>
      </c>
      <c r="D57" s="11">
        <v>0</v>
      </c>
      <c r="E57" s="11">
        <v>177087.3</v>
      </c>
      <c r="F57" s="11">
        <f t="shared" si="0"/>
        <v>480246.92</v>
      </c>
      <c r="G57" s="11">
        <v>303159.62</v>
      </c>
      <c r="H57" s="11">
        <v>0</v>
      </c>
      <c r="I57" s="11">
        <v>177087.3</v>
      </c>
      <c r="J57" s="11">
        <f t="shared" si="1"/>
        <v>480246.92</v>
      </c>
      <c r="K57" s="11">
        <v>303159.62</v>
      </c>
      <c r="L57" s="11">
        <v>0</v>
      </c>
      <c r="M57" s="11">
        <v>177087.3</v>
      </c>
      <c r="N57" s="11">
        <f t="shared" si="2"/>
        <v>480246.92</v>
      </c>
      <c r="O57" s="11">
        <v>1902077.75</v>
      </c>
      <c r="P57" s="11">
        <v>0</v>
      </c>
      <c r="Q57" s="11">
        <v>172683.19</v>
      </c>
      <c r="R57" s="11">
        <f t="shared" si="3"/>
        <v>2074760.94</v>
      </c>
      <c r="S57" s="11">
        <v>2530033.5699999998</v>
      </c>
      <c r="T57" s="11">
        <v>0</v>
      </c>
      <c r="U57" s="11">
        <v>179272.72</v>
      </c>
      <c r="V57" s="4">
        <f t="shared" si="4"/>
        <v>2709306.29</v>
      </c>
      <c r="W57" s="11">
        <v>2530033.5699999998</v>
      </c>
      <c r="X57" s="11">
        <v>0</v>
      </c>
      <c r="Y57" s="11">
        <v>179272.72</v>
      </c>
      <c r="Z57" s="4">
        <f t="shared" si="5"/>
        <v>2709306.29</v>
      </c>
      <c r="AA57" s="11">
        <v>2530033.5699999998</v>
      </c>
      <c r="AB57" s="11">
        <v>0</v>
      </c>
      <c r="AC57" s="11">
        <v>179272.72</v>
      </c>
      <c r="AD57" s="4">
        <f t="shared" si="6"/>
        <v>2709306.29</v>
      </c>
      <c r="AE57" s="11">
        <v>2530033.5699999998</v>
      </c>
      <c r="AF57" s="11">
        <v>0</v>
      </c>
      <c r="AG57" s="11">
        <v>179272.72</v>
      </c>
      <c r="AH57" s="4">
        <f t="shared" si="7"/>
        <v>2709306.29</v>
      </c>
      <c r="AI57" s="11">
        <v>2530033.5699999998</v>
      </c>
      <c r="AJ57" s="11">
        <v>0</v>
      </c>
      <c r="AK57" s="11">
        <v>179272.72</v>
      </c>
      <c r="AL57" s="4">
        <f t="shared" si="8"/>
        <v>2709306.29</v>
      </c>
      <c r="AM57" s="11">
        <v>2530033.5699999998</v>
      </c>
      <c r="AN57" s="11">
        <v>0</v>
      </c>
      <c r="AO57" s="11">
        <v>179272.72</v>
      </c>
      <c r="AP57" s="4">
        <f t="shared" si="9"/>
        <v>2709306.29</v>
      </c>
      <c r="AQ57" s="4">
        <f>616848.82-100</f>
        <v>616748.81999999995</v>
      </c>
      <c r="AR57" s="4">
        <v>0</v>
      </c>
      <c r="AS57" s="4">
        <f>5802.53-100</f>
        <v>5702.53</v>
      </c>
      <c r="AT57" s="4">
        <f t="shared" si="10"/>
        <v>622451.35</v>
      </c>
      <c r="AU57" s="11">
        <v>100</v>
      </c>
      <c r="AV57" s="11">
        <v>0</v>
      </c>
      <c r="AW57" s="11">
        <v>100</v>
      </c>
      <c r="AX57" s="11">
        <f>SUM(AU57:AW57)</f>
        <v>200</v>
      </c>
      <c r="AY57" s="11">
        <f t="shared" si="11"/>
        <v>20393990.789999999</v>
      </c>
    </row>
    <row r="58" spans="1:51">
      <c r="A58" s="1" t="s">
        <v>134</v>
      </c>
      <c r="B58" s="1" t="s">
        <v>135</v>
      </c>
      <c r="C58" s="11">
        <v>2573076.16</v>
      </c>
      <c r="D58" s="11">
        <v>75437.34</v>
      </c>
      <c r="E58" s="11">
        <v>129159.42</v>
      </c>
      <c r="F58" s="11">
        <f t="shared" si="0"/>
        <v>2777672.92</v>
      </c>
      <c r="G58" s="11">
        <v>2573076.16</v>
      </c>
      <c r="H58" s="11">
        <v>75437.34</v>
      </c>
      <c r="I58" s="11">
        <v>129159.42</v>
      </c>
      <c r="J58" s="11">
        <f t="shared" si="1"/>
        <v>2777672.92</v>
      </c>
      <c r="K58" s="11">
        <v>2573076.16</v>
      </c>
      <c r="L58" s="11">
        <v>75437.34</v>
      </c>
      <c r="M58" s="11">
        <v>129159.42</v>
      </c>
      <c r="N58" s="11">
        <f t="shared" si="2"/>
        <v>2777672.92</v>
      </c>
      <c r="O58" s="11">
        <v>4233577.72</v>
      </c>
      <c r="P58" s="11">
        <v>73280.38</v>
      </c>
      <c r="Q58" s="11">
        <v>124712.51</v>
      </c>
      <c r="R58" s="11">
        <f t="shared" si="3"/>
        <v>4431570.6099999994</v>
      </c>
      <c r="S58" s="11">
        <v>4395129.5199999996</v>
      </c>
      <c r="T58" s="11">
        <v>98117.66</v>
      </c>
      <c r="U58" s="11">
        <v>129471.49</v>
      </c>
      <c r="V58" s="4">
        <f t="shared" si="4"/>
        <v>4622718.67</v>
      </c>
      <c r="W58" s="11">
        <v>4395129.5199999996</v>
      </c>
      <c r="X58" s="11">
        <v>98117.66</v>
      </c>
      <c r="Y58" s="11">
        <v>129471.49</v>
      </c>
      <c r="Z58" s="4">
        <f t="shared" si="5"/>
        <v>4622718.67</v>
      </c>
      <c r="AA58" s="11">
        <v>4395129.5199999996</v>
      </c>
      <c r="AB58" s="11">
        <v>98117.66</v>
      </c>
      <c r="AC58" s="11">
        <v>129471.49</v>
      </c>
      <c r="AD58" s="4">
        <f t="shared" si="6"/>
        <v>4622718.67</v>
      </c>
      <c r="AE58" s="11">
        <v>4395129.5199999996</v>
      </c>
      <c r="AF58" s="11">
        <v>98117.66</v>
      </c>
      <c r="AG58" s="11">
        <v>129471.49</v>
      </c>
      <c r="AH58" s="4">
        <f t="shared" si="7"/>
        <v>4622718.67</v>
      </c>
      <c r="AI58" s="11">
        <v>4395129.5199999996</v>
      </c>
      <c r="AJ58" s="11">
        <v>98117.66</v>
      </c>
      <c r="AK58" s="11">
        <v>129471.49</v>
      </c>
      <c r="AL58" s="4">
        <f t="shared" si="8"/>
        <v>4622718.67</v>
      </c>
      <c r="AM58" s="11">
        <v>4395129.5199999996</v>
      </c>
      <c r="AN58" s="11">
        <v>98117.66</v>
      </c>
      <c r="AO58" s="11">
        <v>129471.49</v>
      </c>
      <c r="AP58" s="4">
        <f t="shared" si="9"/>
        <v>4622718.67</v>
      </c>
      <c r="AQ58" s="4">
        <f>142256.93-100</f>
        <v>142156.93</v>
      </c>
      <c r="AR58" s="4">
        <f>24406.53-100</f>
        <v>24306.53</v>
      </c>
      <c r="AS58" s="4">
        <f>4190.6-100</f>
        <v>4090.6000000000004</v>
      </c>
      <c r="AT58" s="4">
        <f t="shared" si="10"/>
        <v>170554.06</v>
      </c>
      <c r="AU58" s="11">
        <v>100</v>
      </c>
      <c r="AV58" s="11">
        <v>100</v>
      </c>
      <c r="AW58" s="11">
        <v>100</v>
      </c>
      <c r="AX58" s="11">
        <f>SUM(AU58:AW58)</f>
        <v>300</v>
      </c>
      <c r="AY58" s="11">
        <f t="shared" si="11"/>
        <v>40671755.45000001</v>
      </c>
    </row>
    <row r="59" spans="1:51">
      <c r="A59" s="1" t="s">
        <v>136</v>
      </c>
      <c r="B59" s="1" t="s">
        <v>137</v>
      </c>
      <c r="C59" s="11">
        <v>0</v>
      </c>
      <c r="D59" s="11">
        <v>0</v>
      </c>
      <c r="E59" s="11">
        <v>257497.64</v>
      </c>
      <c r="F59" s="11">
        <f t="shared" si="0"/>
        <v>257497.64</v>
      </c>
      <c r="G59" s="11">
        <v>0</v>
      </c>
      <c r="H59" s="11">
        <v>0</v>
      </c>
      <c r="I59" s="11">
        <v>257497.64</v>
      </c>
      <c r="J59" s="11">
        <f t="shared" si="1"/>
        <v>257497.64</v>
      </c>
      <c r="K59" s="11">
        <v>0</v>
      </c>
      <c r="L59" s="11">
        <v>0</v>
      </c>
      <c r="M59" s="11">
        <v>257497.64</v>
      </c>
      <c r="N59" s="11">
        <f t="shared" si="2"/>
        <v>257497.64</v>
      </c>
      <c r="O59" s="11">
        <v>0</v>
      </c>
      <c r="P59" s="11">
        <v>0</v>
      </c>
      <c r="Q59" s="11">
        <v>233798.41</v>
      </c>
      <c r="R59" s="11">
        <f t="shared" si="3"/>
        <v>233798.41</v>
      </c>
      <c r="S59" s="11">
        <v>0</v>
      </c>
      <c r="T59" s="11">
        <v>0</v>
      </c>
      <c r="U59" s="11">
        <v>242720.07</v>
      </c>
      <c r="V59" s="4">
        <f t="shared" si="4"/>
        <v>242720.07</v>
      </c>
      <c r="W59" s="11">
        <v>0</v>
      </c>
      <c r="X59" s="11">
        <v>0</v>
      </c>
      <c r="Y59" s="11">
        <v>242720.07</v>
      </c>
      <c r="Z59" s="4">
        <f t="shared" si="5"/>
        <v>242720.07</v>
      </c>
      <c r="AA59" s="11">
        <v>0</v>
      </c>
      <c r="AB59" s="11">
        <v>0</v>
      </c>
      <c r="AC59" s="11">
        <v>242720.07</v>
      </c>
      <c r="AD59" s="4">
        <f t="shared" si="6"/>
        <v>242720.07</v>
      </c>
      <c r="AE59" s="11">
        <v>0</v>
      </c>
      <c r="AF59" s="11">
        <v>0</v>
      </c>
      <c r="AG59" s="11">
        <v>242720.07</v>
      </c>
      <c r="AH59" s="4">
        <f t="shared" si="7"/>
        <v>242720.07</v>
      </c>
      <c r="AI59" s="11">
        <v>0</v>
      </c>
      <c r="AJ59" s="11">
        <v>0</v>
      </c>
      <c r="AK59" s="11">
        <v>242720.07</v>
      </c>
      <c r="AL59" s="4">
        <f t="shared" si="8"/>
        <v>242720.07</v>
      </c>
      <c r="AM59" s="11">
        <v>0</v>
      </c>
      <c r="AN59" s="11">
        <v>0</v>
      </c>
      <c r="AO59" s="11">
        <v>242720.07</v>
      </c>
      <c r="AP59" s="4">
        <f t="shared" si="9"/>
        <v>242720.07</v>
      </c>
      <c r="AQ59" s="4">
        <v>0</v>
      </c>
      <c r="AR59" s="4">
        <v>0</v>
      </c>
      <c r="AS59" s="4">
        <f>7856.1-100</f>
        <v>7756.1</v>
      </c>
      <c r="AT59" s="4">
        <f t="shared" si="10"/>
        <v>7756.1</v>
      </c>
      <c r="AU59" s="11">
        <v>0</v>
      </c>
      <c r="AV59" s="11">
        <v>0</v>
      </c>
      <c r="AW59" s="11">
        <v>100</v>
      </c>
      <c r="AX59" s="11">
        <f>SUM(AU59:AW59)</f>
        <v>100</v>
      </c>
      <c r="AY59" s="11">
        <f t="shared" si="11"/>
        <v>2470467.85</v>
      </c>
    </row>
    <row r="60" spans="1:51">
      <c r="A60" s="1" t="s">
        <v>138</v>
      </c>
      <c r="B60" s="1" t="s">
        <v>139</v>
      </c>
      <c r="C60" s="11">
        <v>0</v>
      </c>
      <c r="D60" s="11">
        <v>0</v>
      </c>
      <c r="E60" s="11">
        <v>334816</v>
      </c>
      <c r="F60" s="11">
        <f t="shared" si="0"/>
        <v>334816</v>
      </c>
      <c r="G60" s="11">
        <v>0</v>
      </c>
      <c r="H60" s="11">
        <v>0</v>
      </c>
      <c r="I60" s="11">
        <v>334816</v>
      </c>
      <c r="J60" s="11">
        <f t="shared" si="1"/>
        <v>334816</v>
      </c>
      <c r="K60" s="11">
        <v>0</v>
      </c>
      <c r="L60" s="11">
        <v>0</v>
      </c>
      <c r="M60" s="11">
        <v>334816</v>
      </c>
      <c r="N60" s="11">
        <f t="shared" si="2"/>
        <v>334816</v>
      </c>
      <c r="O60" s="11">
        <v>0</v>
      </c>
      <c r="P60" s="11">
        <v>0</v>
      </c>
      <c r="Q60" s="11">
        <v>310574.21999999997</v>
      </c>
      <c r="R60" s="11">
        <f t="shared" si="3"/>
        <v>310574.21999999997</v>
      </c>
      <c r="S60" s="11">
        <v>0</v>
      </c>
      <c r="T60" s="11">
        <v>0</v>
      </c>
      <c r="U60" s="11">
        <v>322425.62</v>
      </c>
      <c r="V60" s="4">
        <f t="shared" si="4"/>
        <v>322425.62</v>
      </c>
      <c r="W60" s="11">
        <v>0</v>
      </c>
      <c r="X60" s="11">
        <v>0</v>
      </c>
      <c r="Y60" s="11">
        <v>322425.62</v>
      </c>
      <c r="Z60" s="4">
        <f t="shared" si="5"/>
        <v>322425.62</v>
      </c>
      <c r="AA60" s="11">
        <v>0</v>
      </c>
      <c r="AB60" s="11">
        <v>0</v>
      </c>
      <c r="AC60" s="11">
        <v>322425.62</v>
      </c>
      <c r="AD60" s="4">
        <f t="shared" si="6"/>
        <v>322425.62</v>
      </c>
      <c r="AE60" s="11">
        <v>0</v>
      </c>
      <c r="AF60" s="11">
        <v>0</v>
      </c>
      <c r="AG60" s="11">
        <v>322425.62</v>
      </c>
      <c r="AH60" s="4">
        <f t="shared" si="7"/>
        <v>322425.62</v>
      </c>
      <c r="AI60" s="11">
        <v>0</v>
      </c>
      <c r="AJ60" s="11">
        <v>0</v>
      </c>
      <c r="AK60" s="11">
        <v>322425.62</v>
      </c>
      <c r="AL60" s="4">
        <f t="shared" si="8"/>
        <v>322425.62</v>
      </c>
      <c r="AM60" s="11">
        <v>0</v>
      </c>
      <c r="AN60" s="11">
        <v>0</v>
      </c>
      <c r="AO60" s="11">
        <v>322425.62</v>
      </c>
      <c r="AP60" s="4">
        <f t="shared" si="9"/>
        <v>322425.62</v>
      </c>
      <c r="AQ60" s="4">
        <v>0</v>
      </c>
      <c r="AR60" s="4">
        <v>0</v>
      </c>
      <c r="AS60" s="4">
        <f>10435.94-100</f>
        <v>10335.94</v>
      </c>
      <c r="AT60" s="4">
        <f t="shared" si="10"/>
        <v>10335.94</v>
      </c>
      <c r="AU60" s="11">
        <v>0</v>
      </c>
      <c r="AV60" s="11">
        <v>0</v>
      </c>
      <c r="AW60" s="11">
        <v>100</v>
      </c>
      <c r="AX60" s="11">
        <f>SUM(AU60:AW60)</f>
        <v>100</v>
      </c>
      <c r="AY60" s="11">
        <f t="shared" si="11"/>
        <v>3260011.8800000004</v>
      </c>
    </row>
    <row r="61" spans="1:51">
      <c r="A61" s="1" t="s">
        <v>140</v>
      </c>
      <c r="B61" s="1" t="s">
        <v>141</v>
      </c>
      <c r="C61" s="11">
        <v>0</v>
      </c>
      <c r="D61" s="11">
        <v>0</v>
      </c>
      <c r="E61" s="11">
        <v>88378.55</v>
      </c>
      <c r="F61" s="11">
        <f t="shared" si="0"/>
        <v>88378.55</v>
      </c>
      <c r="G61" s="11">
        <v>0</v>
      </c>
      <c r="H61" s="11">
        <v>0</v>
      </c>
      <c r="I61" s="11">
        <v>88378.55</v>
      </c>
      <c r="J61" s="11">
        <f t="shared" si="1"/>
        <v>88378.55</v>
      </c>
      <c r="K61" s="11">
        <v>0</v>
      </c>
      <c r="L61" s="11">
        <v>0</v>
      </c>
      <c r="M61" s="11">
        <v>88378.55</v>
      </c>
      <c r="N61" s="11">
        <f t="shared" si="2"/>
        <v>88378.55</v>
      </c>
      <c r="O61" s="11">
        <v>0</v>
      </c>
      <c r="P61" s="11">
        <v>0</v>
      </c>
      <c r="Q61" s="11">
        <v>82962.19</v>
      </c>
      <c r="R61" s="11">
        <f t="shared" si="3"/>
        <v>82962.19</v>
      </c>
      <c r="S61" s="11">
        <v>0</v>
      </c>
      <c r="T61" s="11">
        <v>0</v>
      </c>
      <c r="U61" s="11">
        <v>86128</v>
      </c>
      <c r="V61" s="4">
        <f t="shared" si="4"/>
        <v>86128</v>
      </c>
      <c r="W61" s="11">
        <v>0</v>
      </c>
      <c r="X61" s="11">
        <v>0</v>
      </c>
      <c r="Y61" s="11">
        <v>86128</v>
      </c>
      <c r="Z61" s="4">
        <f t="shared" si="5"/>
        <v>86128</v>
      </c>
      <c r="AA61" s="11">
        <v>0</v>
      </c>
      <c r="AB61" s="11">
        <v>0</v>
      </c>
      <c r="AC61" s="11">
        <v>86128</v>
      </c>
      <c r="AD61" s="4">
        <f t="shared" si="6"/>
        <v>86128</v>
      </c>
      <c r="AE61" s="11">
        <v>0</v>
      </c>
      <c r="AF61" s="11">
        <v>0</v>
      </c>
      <c r="AG61" s="11">
        <v>86128</v>
      </c>
      <c r="AH61" s="4">
        <f t="shared" si="7"/>
        <v>86128</v>
      </c>
      <c r="AI61" s="11">
        <v>0</v>
      </c>
      <c r="AJ61" s="11">
        <v>0</v>
      </c>
      <c r="AK61" s="11">
        <v>86128</v>
      </c>
      <c r="AL61" s="4">
        <f t="shared" si="8"/>
        <v>86128</v>
      </c>
      <c r="AM61" s="11">
        <v>0</v>
      </c>
      <c r="AN61" s="11">
        <v>0</v>
      </c>
      <c r="AO61" s="11">
        <v>86128</v>
      </c>
      <c r="AP61" s="4">
        <f t="shared" si="9"/>
        <v>86128</v>
      </c>
      <c r="AQ61" s="4">
        <v>0</v>
      </c>
      <c r="AR61" s="4">
        <v>0</v>
      </c>
      <c r="AS61" s="4">
        <f>2787.7-100</f>
        <v>2687.7</v>
      </c>
      <c r="AT61" s="4">
        <f t="shared" si="10"/>
        <v>2687.7</v>
      </c>
      <c r="AU61" s="11">
        <v>0</v>
      </c>
      <c r="AV61" s="11">
        <v>0</v>
      </c>
      <c r="AW61" s="11">
        <v>100</v>
      </c>
      <c r="AX61" s="11">
        <f>SUM(AU61:AW61)</f>
        <v>100</v>
      </c>
      <c r="AY61" s="11">
        <f t="shared" si="11"/>
        <v>867653.54</v>
      </c>
    </row>
    <row r="62" spans="1:51">
      <c r="A62" s="1" t="s">
        <v>142</v>
      </c>
      <c r="B62" s="1" t="s">
        <v>143</v>
      </c>
      <c r="C62" s="11">
        <v>0</v>
      </c>
      <c r="D62" s="11">
        <v>0</v>
      </c>
      <c r="E62" s="11">
        <v>42374.62</v>
      </c>
      <c r="F62" s="11">
        <f t="shared" si="0"/>
        <v>42374.62</v>
      </c>
      <c r="G62" s="11">
        <v>0</v>
      </c>
      <c r="H62" s="11">
        <v>0</v>
      </c>
      <c r="I62" s="11">
        <v>42374.62</v>
      </c>
      <c r="J62" s="11">
        <f t="shared" si="1"/>
        <v>42374.62</v>
      </c>
      <c r="K62" s="11">
        <v>0</v>
      </c>
      <c r="L62" s="11">
        <v>0</v>
      </c>
      <c r="M62" s="11">
        <v>42374.62</v>
      </c>
      <c r="N62" s="11">
        <f t="shared" si="2"/>
        <v>42374.62</v>
      </c>
      <c r="O62" s="11">
        <v>0</v>
      </c>
      <c r="P62" s="11">
        <v>0</v>
      </c>
      <c r="Q62" s="11">
        <v>41162.050000000003</v>
      </c>
      <c r="R62" s="11">
        <f t="shared" si="3"/>
        <v>41162.050000000003</v>
      </c>
      <c r="S62" s="11">
        <v>0</v>
      </c>
      <c r="T62" s="11">
        <v>0</v>
      </c>
      <c r="U62" s="11">
        <v>42800</v>
      </c>
      <c r="V62" s="4">
        <f t="shared" si="4"/>
        <v>42800</v>
      </c>
      <c r="W62" s="11">
        <v>0</v>
      </c>
      <c r="X62" s="11">
        <v>0</v>
      </c>
      <c r="Y62" s="11">
        <v>42800</v>
      </c>
      <c r="Z62" s="4">
        <f t="shared" si="5"/>
        <v>42800</v>
      </c>
      <c r="AA62" s="11">
        <v>0</v>
      </c>
      <c r="AB62" s="11">
        <v>0</v>
      </c>
      <c r="AC62" s="11">
        <v>42800</v>
      </c>
      <c r="AD62" s="4">
        <f t="shared" si="6"/>
        <v>42800</v>
      </c>
      <c r="AE62" s="11">
        <v>0</v>
      </c>
      <c r="AF62" s="11">
        <v>0</v>
      </c>
      <c r="AG62" s="11">
        <v>42800</v>
      </c>
      <c r="AH62" s="4">
        <f t="shared" si="7"/>
        <v>42800</v>
      </c>
      <c r="AI62" s="11">
        <v>0</v>
      </c>
      <c r="AJ62" s="11">
        <v>0</v>
      </c>
      <c r="AK62" s="11">
        <v>42800</v>
      </c>
      <c r="AL62" s="4">
        <f t="shared" si="8"/>
        <v>42800</v>
      </c>
      <c r="AM62" s="11">
        <v>0</v>
      </c>
      <c r="AN62" s="11">
        <v>0</v>
      </c>
      <c r="AO62" s="11">
        <v>13600</v>
      </c>
      <c r="AP62" s="4">
        <f t="shared" si="9"/>
        <v>13600</v>
      </c>
      <c r="AQ62" s="4">
        <v>0</v>
      </c>
      <c r="AR62" s="4">
        <v>0</v>
      </c>
      <c r="AS62" s="4">
        <f>285.65-100</f>
        <v>185.64999999999998</v>
      </c>
      <c r="AT62" s="4">
        <f t="shared" si="10"/>
        <v>185.64999999999998</v>
      </c>
      <c r="AU62" s="11">
        <v>0</v>
      </c>
      <c r="AV62" s="11">
        <v>0</v>
      </c>
      <c r="AW62" s="11">
        <v>100</v>
      </c>
      <c r="AX62" s="11">
        <f>SUM(AU62:AW62)</f>
        <v>100</v>
      </c>
      <c r="AY62" s="11">
        <f t="shared" si="11"/>
        <v>396171.56000000006</v>
      </c>
    </row>
    <row r="63" spans="1:51">
      <c r="A63" s="1" t="s">
        <v>144</v>
      </c>
      <c r="B63" s="1" t="s">
        <v>145</v>
      </c>
      <c r="C63" s="11">
        <v>354805.96</v>
      </c>
      <c r="D63" s="11">
        <v>0</v>
      </c>
      <c r="E63" s="11">
        <v>4423.4799999999996</v>
      </c>
      <c r="F63" s="11">
        <f t="shared" si="0"/>
        <v>359229.44</v>
      </c>
      <c r="G63" s="11">
        <v>354805.96</v>
      </c>
      <c r="H63" s="11">
        <v>0</v>
      </c>
      <c r="I63" s="11">
        <v>4423.4799999999996</v>
      </c>
      <c r="J63" s="11">
        <f t="shared" si="1"/>
        <v>359229.44</v>
      </c>
      <c r="K63" s="11">
        <v>354805.96</v>
      </c>
      <c r="L63" s="11">
        <v>0</v>
      </c>
      <c r="M63" s="11">
        <v>4423.4799999999996</v>
      </c>
      <c r="N63" s="11">
        <f t="shared" si="2"/>
        <v>359229.44</v>
      </c>
      <c r="O63" s="11">
        <v>575760.62</v>
      </c>
      <c r="P63" s="11">
        <v>0</v>
      </c>
      <c r="Q63" s="11">
        <v>4071.6</v>
      </c>
      <c r="R63" s="11">
        <f t="shared" si="3"/>
        <v>579832.22</v>
      </c>
      <c r="S63" s="11">
        <v>597731.43000000005</v>
      </c>
      <c r="T63" s="11">
        <v>0</v>
      </c>
      <c r="U63" s="11">
        <v>4226.9799999999996</v>
      </c>
      <c r="V63" s="4">
        <f t="shared" si="4"/>
        <v>601958.41</v>
      </c>
      <c r="W63" s="11">
        <v>597731.43000000005</v>
      </c>
      <c r="X63" s="11">
        <v>0</v>
      </c>
      <c r="Y63" s="11">
        <v>4226.9799999999996</v>
      </c>
      <c r="Z63" s="4">
        <f t="shared" si="5"/>
        <v>601958.41</v>
      </c>
      <c r="AA63" s="11">
        <v>597731.43000000005</v>
      </c>
      <c r="AB63" s="11">
        <v>0</v>
      </c>
      <c r="AC63" s="11">
        <v>4226.9799999999996</v>
      </c>
      <c r="AD63" s="4">
        <f t="shared" si="6"/>
        <v>601958.41</v>
      </c>
      <c r="AE63" s="11">
        <v>597731.43000000005</v>
      </c>
      <c r="AF63" s="11">
        <v>0</v>
      </c>
      <c r="AG63" s="11">
        <v>4226.9799999999996</v>
      </c>
      <c r="AH63" s="4">
        <f t="shared" si="7"/>
        <v>601958.41</v>
      </c>
      <c r="AI63" s="11">
        <v>597731.43000000005</v>
      </c>
      <c r="AJ63" s="11">
        <v>0</v>
      </c>
      <c r="AK63" s="11">
        <v>4226.9799999999996</v>
      </c>
      <c r="AL63" s="4">
        <f t="shared" si="8"/>
        <v>601958.41</v>
      </c>
      <c r="AM63" s="11">
        <v>597731.43000000005</v>
      </c>
      <c r="AN63" s="11">
        <v>0</v>
      </c>
      <c r="AO63" s="11">
        <v>4226.9799999999996</v>
      </c>
      <c r="AP63" s="4">
        <f t="shared" si="9"/>
        <v>601958.41</v>
      </c>
      <c r="AQ63" s="4">
        <v>19246.740000000002</v>
      </c>
      <c r="AR63" s="4">
        <v>0</v>
      </c>
      <c r="AS63" s="4">
        <v>100.78</v>
      </c>
      <c r="AT63" s="4">
        <f t="shared" si="10"/>
        <v>19347.52</v>
      </c>
      <c r="AU63" s="11">
        <v>100</v>
      </c>
      <c r="AV63" s="11">
        <v>0</v>
      </c>
      <c r="AW63" s="11">
        <v>36</v>
      </c>
      <c r="AX63" s="11">
        <f>SUM(AU63:AW63)</f>
        <v>136</v>
      </c>
      <c r="AY63" s="11">
        <f t="shared" si="11"/>
        <v>5288754.5200000005</v>
      </c>
    </row>
    <row r="64" spans="1:51">
      <c r="A64" s="1" t="s">
        <v>146</v>
      </c>
      <c r="B64" s="1" t="s">
        <v>147</v>
      </c>
      <c r="C64" s="11">
        <v>0</v>
      </c>
      <c r="D64" s="11">
        <v>0</v>
      </c>
      <c r="E64" s="11">
        <v>19703.89</v>
      </c>
      <c r="F64" s="11">
        <f t="shared" si="0"/>
        <v>19703.89</v>
      </c>
      <c r="G64" s="11">
        <v>0</v>
      </c>
      <c r="H64" s="11">
        <v>0</v>
      </c>
      <c r="I64" s="11">
        <v>19703.89</v>
      </c>
      <c r="J64" s="11">
        <f t="shared" si="1"/>
        <v>19703.89</v>
      </c>
      <c r="K64" s="11">
        <v>0</v>
      </c>
      <c r="L64" s="11">
        <v>0</v>
      </c>
      <c r="M64" s="11">
        <v>19703.89</v>
      </c>
      <c r="N64" s="11">
        <f t="shared" si="2"/>
        <v>19703.89</v>
      </c>
      <c r="O64" s="11">
        <v>0</v>
      </c>
      <c r="P64" s="11">
        <v>0</v>
      </c>
      <c r="Q64" s="11">
        <v>19361.34</v>
      </c>
      <c r="R64" s="11">
        <f t="shared" si="3"/>
        <v>19361.34</v>
      </c>
      <c r="S64" s="11">
        <v>0</v>
      </c>
      <c r="T64" s="11">
        <v>0</v>
      </c>
      <c r="U64" s="11">
        <v>20100.16</v>
      </c>
      <c r="V64" s="4">
        <f t="shared" si="4"/>
        <v>20100.16</v>
      </c>
      <c r="W64" s="11">
        <v>0</v>
      </c>
      <c r="X64" s="11">
        <v>0</v>
      </c>
      <c r="Y64" s="11">
        <v>20100.16</v>
      </c>
      <c r="Z64" s="4">
        <f t="shared" si="5"/>
        <v>20100.16</v>
      </c>
      <c r="AA64" s="11">
        <v>0</v>
      </c>
      <c r="AB64" s="11">
        <v>0</v>
      </c>
      <c r="AC64" s="11">
        <v>20100.16</v>
      </c>
      <c r="AD64" s="4">
        <f t="shared" si="6"/>
        <v>20100.16</v>
      </c>
      <c r="AE64" s="11">
        <v>0</v>
      </c>
      <c r="AF64" s="11">
        <v>0</v>
      </c>
      <c r="AG64" s="11">
        <v>20100.16</v>
      </c>
      <c r="AH64" s="4">
        <f t="shared" si="7"/>
        <v>20100.16</v>
      </c>
      <c r="AI64" s="11">
        <v>0</v>
      </c>
      <c r="AJ64" s="11">
        <v>0</v>
      </c>
      <c r="AK64" s="11">
        <v>20100.16</v>
      </c>
      <c r="AL64" s="4">
        <f t="shared" si="8"/>
        <v>20100.16</v>
      </c>
      <c r="AM64" s="11">
        <v>0</v>
      </c>
      <c r="AN64" s="11">
        <v>0</v>
      </c>
      <c r="AO64" s="11">
        <v>20100.16</v>
      </c>
      <c r="AP64" s="4">
        <f t="shared" si="9"/>
        <v>20100.16</v>
      </c>
      <c r="AQ64" s="4">
        <v>0</v>
      </c>
      <c r="AR64" s="4">
        <v>0</v>
      </c>
      <c r="AS64" s="4">
        <f>650.57-100</f>
        <v>550.57000000000005</v>
      </c>
      <c r="AT64" s="4">
        <f t="shared" si="10"/>
        <v>550.57000000000005</v>
      </c>
      <c r="AU64" s="11">
        <v>0</v>
      </c>
      <c r="AV64" s="11">
        <v>0</v>
      </c>
      <c r="AW64" s="11">
        <v>100</v>
      </c>
      <c r="AX64" s="11">
        <f>SUM(AU64:AW64)</f>
        <v>100</v>
      </c>
      <c r="AY64" s="11">
        <f t="shared" si="11"/>
        <v>199724.54</v>
      </c>
    </row>
    <row r="65" spans="1:51">
      <c r="A65" s="1" t="s">
        <v>148</v>
      </c>
      <c r="B65" s="1" t="s">
        <v>149</v>
      </c>
      <c r="C65" s="11">
        <v>0</v>
      </c>
      <c r="D65" s="11">
        <v>0</v>
      </c>
      <c r="E65" s="11">
        <v>3177.34</v>
      </c>
      <c r="F65" s="11">
        <f t="shared" si="0"/>
        <v>3177.34</v>
      </c>
      <c r="G65" s="11">
        <v>0</v>
      </c>
      <c r="H65" s="11">
        <v>0</v>
      </c>
      <c r="I65" s="11">
        <v>3177.34</v>
      </c>
      <c r="J65" s="11">
        <f t="shared" si="1"/>
        <v>3177.34</v>
      </c>
      <c r="K65" s="11">
        <v>0</v>
      </c>
      <c r="L65" s="11">
        <v>0</v>
      </c>
      <c r="M65" s="11">
        <v>3177.34</v>
      </c>
      <c r="N65" s="11">
        <f t="shared" si="2"/>
        <v>3177.34</v>
      </c>
      <c r="O65" s="11">
        <v>0</v>
      </c>
      <c r="P65" s="11">
        <v>0</v>
      </c>
      <c r="Q65" s="11">
        <v>2836.48</v>
      </c>
      <c r="R65" s="11">
        <f t="shared" si="3"/>
        <v>2836.48</v>
      </c>
      <c r="S65" s="11">
        <v>248071.44</v>
      </c>
      <c r="T65" s="11">
        <v>0</v>
      </c>
      <c r="U65" s="11">
        <v>2944.72</v>
      </c>
      <c r="V65" s="4">
        <f t="shared" si="4"/>
        <v>251016.16</v>
      </c>
      <c r="W65" s="11">
        <v>248071.44</v>
      </c>
      <c r="X65" s="11">
        <v>0</v>
      </c>
      <c r="Y65" s="11">
        <v>2944.72</v>
      </c>
      <c r="Z65" s="4">
        <f t="shared" si="5"/>
        <v>251016.16</v>
      </c>
      <c r="AA65" s="11">
        <v>248071.44</v>
      </c>
      <c r="AB65" s="11">
        <v>0</v>
      </c>
      <c r="AC65" s="11">
        <v>2944.72</v>
      </c>
      <c r="AD65" s="4">
        <f t="shared" si="6"/>
        <v>251016.16</v>
      </c>
      <c r="AE65" s="11">
        <v>248071.44</v>
      </c>
      <c r="AF65" s="11">
        <v>0</v>
      </c>
      <c r="AG65" s="11">
        <v>2944.72</v>
      </c>
      <c r="AH65" s="4">
        <f t="shared" si="7"/>
        <v>251016.16</v>
      </c>
      <c r="AI65" s="11">
        <v>248071.44</v>
      </c>
      <c r="AJ65" s="11">
        <v>0</v>
      </c>
      <c r="AK65" s="11">
        <v>2944.72</v>
      </c>
      <c r="AL65" s="4">
        <f t="shared" si="8"/>
        <v>251016.16</v>
      </c>
      <c r="AM65" s="11">
        <v>248071.44</v>
      </c>
      <c r="AN65" s="11">
        <v>0</v>
      </c>
      <c r="AO65" s="11">
        <v>2944.72</v>
      </c>
      <c r="AP65" s="4">
        <f t="shared" si="9"/>
        <v>251016.16</v>
      </c>
      <c r="AQ65" s="4">
        <f>246982.4-100</f>
        <v>246882.4</v>
      </c>
      <c r="AR65" s="4">
        <v>0</v>
      </c>
      <c r="AS65" s="4">
        <v>55.33</v>
      </c>
      <c r="AT65" s="4">
        <f t="shared" si="10"/>
        <v>246937.72999999998</v>
      </c>
      <c r="AU65" s="11">
        <v>100</v>
      </c>
      <c r="AV65" s="11">
        <v>0</v>
      </c>
      <c r="AW65" s="11">
        <v>40</v>
      </c>
      <c r="AX65" s="11">
        <f>SUM(AU65:AW65)</f>
        <v>140</v>
      </c>
      <c r="AY65" s="11">
        <f t="shared" si="11"/>
        <v>1765543.19</v>
      </c>
    </row>
    <row r="66" spans="1:51">
      <c r="A66" s="1" t="s">
        <v>150</v>
      </c>
      <c r="B66" s="1" t="s">
        <v>151</v>
      </c>
      <c r="C66" s="11">
        <v>0</v>
      </c>
      <c r="D66" s="11">
        <v>0</v>
      </c>
      <c r="E66" s="11">
        <v>0</v>
      </c>
      <c r="F66" s="11">
        <f t="shared" si="0"/>
        <v>0</v>
      </c>
      <c r="G66" s="11">
        <v>0</v>
      </c>
      <c r="H66" s="11">
        <v>0</v>
      </c>
      <c r="I66" s="11">
        <v>0</v>
      </c>
      <c r="J66" s="11">
        <f t="shared" si="1"/>
        <v>0</v>
      </c>
      <c r="K66" s="11">
        <v>0</v>
      </c>
      <c r="L66" s="11">
        <v>0</v>
      </c>
      <c r="M66" s="11">
        <v>0</v>
      </c>
      <c r="N66" s="11">
        <f t="shared" si="2"/>
        <v>0</v>
      </c>
      <c r="O66" s="11">
        <v>0</v>
      </c>
      <c r="P66" s="11">
        <v>0</v>
      </c>
      <c r="Q66" s="11">
        <v>0</v>
      </c>
      <c r="R66" s="11">
        <f t="shared" si="3"/>
        <v>0</v>
      </c>
      <c r="S66" s="11">
        <v>0</v>
      </c>
      <c r="T66" s="11">
        <v>0</v>
      </c>
      <c r="U66" s="11">
        <v>0</v>
      </c>
      <c r="V66" s="4">
        <f t="shared" si="4"/>
        <v>0</v>
      </c>
      <c r="W66" s="11">
        <v>0</v>
      </c>
      <c r="X66" s="11">
        <v>0</v>
      </c>
      <c r="Y66" s="11">
        <v>0</v>
      </c>
      <c r="Z66" s="4">
        <f t="shared" si="5"/>
        <v>0</v>
      </c>
      <c r="AA66" s="11">
        <v>0</v>
      </c>
      <c r="AB66" s="11">
        <v>0</v>
      </c>
      <c r="AC66" s="11">
        <v>0</v>
      </c>
      <c r="AD66" s="4">
        <f t="shared" si="6"/>
        <v>0</v>
      </c>
      <c r="AE66" s="11">
        <v>0</v>
      </c>
      <c r="AF66" s="11">
        <v>0</v>
      </c>
      <c r="AG66" s="11">
        <v>0</v>
      </c>
      <c r="AH66" s="4">
        <f t="shared" si="7"/>
        <v>0</v>
      </c>
      <c r="AI66" s="11">
        <v>0</v>
      </c>
      <c r="AJ66" s="11">
        <v>0</v>
      </c>
      <c r="AK66" s="11">
        <v>0</v>
      </c>
      <c r="AL66" s="4">
        <f t="shared" si="8"/>
        <v>0</v>
      </c>
      <c r="AM66" s="11">
        <v>0</v>
      </c>
      <c r="AN66" s="11">
        <v>0</v>
      </c>
      <c r="AO66" s="11">
        <v>0</v>
      </c>
      <c r="AP66" s="4">
        <f t="shared" si="9"/>
        <v>0</v>
      </c>
      <c r="AQ66" s="4">
        <v>0</v>
      </c>
      <c r="AR66" s="4">
        <v>0</v>
      </c>
      <c r="AS66" s="15">
        <v>0</v>
      </c>
      <c r="AT66" s="4">
        <f t="shared" si="10"/>
        <v>0</v>
      </c>
      <c r="AU66" s="11"/>
      <c r="AV66" s="11"/>
      <c r="AW66" s="11"/>
      <c r="AX66" s="11"/>
      <c r="AY66" s="11">
        <f t="shared" si="11"/>
        <v>0</v>
      </c>
    </row>
    <row r="67" spans="1:51">
      <c r="A67" s="1" t="s">
        <v>152</v>
      </c>
      <c r="B67" s="1" t="s">
        <v>153</v>
      </c>
      <c r="C67" s="11">
        <v>0</v>
      </c>
      <c r="D67" s="11">
        <v>0</v>
      </c>
      <c r="E67" s="11">
        <v>179289.46</v>
      </c>
      <c r="F67" s="11">
        <f t="shared" si="0"/>
        <v>179289.46</v>
      </c>
      <c r="G67" s="11">
        <v>0</v>
      </c>
      <c r="H67" s="11">
        <v>0</v>
      </c>
      <c r="I67" s="11">
        <v>179289.46</v>
      </c>
      <c r="J67" s="11">
        <f t="shared" si="1"/>
        <v>179289.46</v>
      </c>
      <c r="K67" s="11">
        <v>0</v>
      </c>
      <c r="L67" s="11">
        <v>0</v>
      </c>
      <c r="M67" s="11">
        <v>179289.46</v>
      </c>
      <c r="N67" s="11">
        <f t="shared" si="2"/>
        <v>179289.46</v>
      </c>
      <c r="O67" s="11">
        <v>0</v>
      </c>
      <c r="P67" s="11">
        <v>0</v>
      </c>
      <c r="Q67" s="11">
        <v>164410.71</v>
      </c>
      <c r="R67" s="11">
        <f t="shared" si="3"/>
        <v>164410.71</v>
      </c>
      <c r="S67" s="11">
        <v>0</v>
      </c>
      <c r="T67" s="11">
        <v>0</v>
      </c>
      <c r="U67" s="11">
        <v>200000</v>
      </c>
      <c r="V67" s="4">
        <f t="shared" si="4"/>
        <v>200000</v>
      </c>
      <c r="W67" s="11">
        <v>0</v>
      </c>
      <c r="X67" s="11">
        <v>0</v>
      </c>
      <c r="Y67" s="11">
        <v>200000</v>
      </c>
      <c r="Z67" s="4">
        <f t="shared" si="5"/>
        <v>200000</v>
      </c>
      <c r="AA67" s="11">
        <v>0</v>
      </c>
      <c r="AB67" s="11">
        <v>0</v>
      </c>
      <c r="AC67" s="11">
        <v>190000</v>
      </c>
      <c r="AD67" s="4">
        <f t="shared" si="6"/>
        <v>190000</v>
      </c>
      <c r="AE67" s="11">
        <v>0</v>
      </c>
      <c r="AF67" s="11">
        <v>0</v>
      </c>
      <c r="AG67" s="11">
        <v>180000</v>
      </c>
      <c r="AH67" s="4">
        <f t="shared" si="7"/>
        <v>180000</v>
      </c>
      <c r="AI67" s="11">
        <v>0</v>
      </c>
      <c r="AJ67" s="11">
        <v>0</v>
      </c>
      <c r="AK67" s="11">
        <v>190000</v>
      </c>
      <c r="AL67" s="4">
        <f t="shared" si="8"/>
        <v>190000</v>
      </c>
      <c r="AM67" s="11">
        <v>0</v>
      </c>
      <c r="AN67" s="11">
        <v>0</v>
      </c>
      <c r="AO67" s="11">
        <v>50000</v>
      </c>
      <c r="AP67" s="4">
        <f t="shared" si="9"/>
        <v>50000</v>
      </c>
      <c r="AQ67" s="4">
        <v>0</v>
      </c>
      <c r="AR67" s="4">
        <v>0</v>
      </c>
      <c r="AS67" s="4">
        <v>10000</v>
      </c>
      <c r="AT67" s="4">
        <f t="shared" si="10"/>
        <v>10000</v>
      </c>
      <c r="AU67" s="11">
        <v>0</v>
      </c>
      <c r="AV67" s="11">
        <v>0</v>
      </c>
      <c r="AW67" s="11">
        <v>9631.93</v>
      </c>
      <c r="AX67" s="11">
        <f>SUM(AU67:AW67)</f>
        <v>9631.93</v>
      </c>
      <c r="AY67" s="11">
        <f t="shared" si="11"/>
        <v>1731911.0199999998</v>
      </c>
    </row>
    <row r="68" spans="1:51">
      <c r="A68" s="1" t="s">
        <v>154</v>
      </c>
      <c r="B68" s="1" t="s">
        <v>155</v>
      </c>
      <c r="C68" s="11">
        <v>977777.51</v>
      </c>
      <c r="D68" s="11">
        <v>144143.93</v>
      </c>
      <c r="E68" s="11">
        <v>109027.17</v>
      </c>
      <c r="F68" s="11">
        <f t="shared" ref="F68:F93" si="12">+E68+D68+C68</f>
        <v>1230948.6099999999</v>
      </c>
      <c r="G68" s="11">
        <v>977777.51</v>
      </c>
      <c r="H68" s="11">
        <v>144143.93</v>
      </c>
      <c r="I68" s="11">
        <v>109027.17</v>
      </c>
      <c r="J68" s="11">
        <f t="shared" ref="J68:J93" si="13">+I68+H68+G68</f>
        <v>1230948.6099999999</v>
      </c>
      <c r="K68" s="11">
        <v>977777.51</v>
      </c>
      <c r="L68" s="11">
        <v>144143.93</v>
      </c>
      <c r="M68" s="11">
        <v>109027.17</v>
      </c>
      <c r="N68" s="11">
        <f t="shared" ref="N68:N93" si="14">+M68+L68+K68</f>
        <v>1230948.6099999999</v>
      </c>
      <c r="O68" s="11">
        <v>1039856.92</v>
      </c>
      <c r="P68" s="11">
        <v>140250.49</v>
      </c>
      <c r="Q68" s="11">
        <v>102575.8</v>
      </c>
      <c r="R68" s="11">
        <f t="shared" ref="R68:R93" si="15">+Q68+P68+O68</f>
        <v>1282683.21</v>
      </c>
      <c r="S68" s="11">
        <v>1079537.49</v>
      </c>
      <c r="T68" s="11">
        <v>145524.25</v>
      </c>
      <c r="U68" s="11">
        <v>106490.05</v>
      </c>
      <c r="V68" s="4">
        <f t="shared" ref="V68:V93" si="16">+U68+T68+S68</f>
        <v>1331551.79</v>
      </c>
      <c r="W68" s="11">
        <v>1079537.49</v>
      </c>
      <c r="X68" s="11">
        <v>145524.25</v>
      </c>
      <c r="Y68" s="11">
        <v>106490.05</v>
      </c>
      <c r="Z68" s="4">
        <f t="shared" ref="Z68:Z94" si="17">+Y68+X68+W68</f>
        <v>1331551.79</v>
      </c>
      <c r="AA68" s="11">
        <v>1079537.49</v>
      </c>
      <c r="AB68" s="11">
        <v>145524.25</v>
      </c>
      <c r="AC68" s="11">
        <v>106490.05</v>
      </c>
      <c r="AD68" s="4">
        <f t="shared" ref="AD68:AD93" si="18">+AC68+AB68+AA68</f>
        <v>1331551.79</v>
      </c>
      <c r="AE68" s="11">
        <v>1079537.49</v>
      </c>
      <c r="AF68" s="11">
        <v>145524.25</v>
      </c>
      <c r="AG68" s="11">
        <v>106490.05</v>
      </c>
      <c r="AH68" s="4">
        <f t="shared" ref="AH68:AH93" si="19">+AG68+AF68+AE68</f>
        <v>1331551.79</v>
      </c>
      <c r="AI68" s="11">
        <v>1079537.49</v>
      </c>
      <c r="AJ68" s="11">
        <v>145524.25</v>
      </c>
      <c r="AK68" s="11">
        <v>106490.05</v>
      </c>
      <c r="AL68" s="4">
        <f t="shared" ref="AL68:AL93" si="20">+AK68+AJ68+AI68</f>
        <v>1331551.79</v>
      </c>
      <c r="AM68" s="11">
        <v>1079537.49</v>
      </c>
      <c r="AN68" s="11">
        <v>145524.25</v>
      </c>
      <c r="AO68" s="11">
        <v>106490.05</v>
      </c>
      <c r="AP68" s="4">
        <f t="shared" ref="AP68:AP93" si="21">+AO68+AN68+AM68</f>
        <v>1331551.79</v>
      </c>
      <c r="AQ68" s="4">
        <v>34841.33</v>
      </c>
      <c r="AR68" s="4">
        <v>4534.8999999999996</v>
      </c>
      <c r="AS68" s="4">
        <v>3346.79</v>
      </c>
      <c r="AT68" s="4">
        <f t="shared" ref="AT68:AT93" si="22">+AS68+AR68+AQ68</f>
        <v>42723.020000000004</v>
      </c>
      <c r="AU68" s="11">
        <v>100</v>
      </c>
      <c r="AV68" s="11">
        <v>100</v>
      </c>
      <c r="AW68" s="11">
        <v>100</v>
      </c>
      <c r="AX68" s="11">
        <f>SUM(AU68:AW68)</f>
        <v>300</v>
      </c>
      <c r="AY68" s="11">
        <f t="shared" ref="AY68:AY93" si="23">+F68+J68+N68+R68+V68+Z68+AD68+AH68+AL68+AP68+AT68+AX68</f>
        <v>13007862.799999997</v>
      </c>
    </row>
    <row r="69" spans="1:51">
      <c r="A69" s="1" t="s">
        <v>156</v>
      </c>
      <c r="B69" s="1" t="s">
        <v>157</v>
      </c>
      <c r="C69" s="11">
        <v>2342489.19</v>
      </c>
      <c r="D69" s="11">
        <v>419084.16</v>
      </c>
      <c r="E69" s="11">
        <v>150324.16</v>
      </c>
      <c r="F69" s="11">
        <f t="shared" si="12"/>
        <v>2911897.51</v>
      </c>
      <c r="G69" s="11">
        <v>2342489.19</v>
      </c>
      <c r="H69" s="11">
        <v>419084.16</v>
      </c>
      <c r="I69" s="11">
        <v>150324.16</v>
      </c>
      <c r="J69" s="11">
        <f t="shared" si="13"/>
        <v>2911897.51</v>
      </c>
      <c r="K69" s="11">
        <v>2342489.19</v>
      </c>
      <c r="L69" s="11">
        <v>419084.16</v>
      </c>
      <c r="M69" s="11">
        <v>150324.16</v>
      </c>
      <c r="N69" s="11">
        <f t="shared" si="14"/>
        <v>2911897.51</v>
      </c>
      <c r="O69" s="11">
        <v>2461943.37</v>
      </c>
      <c r="P69" s="11">
        <v>407255.72</v>
      </c>
      <c r="Q69" s="11">
        <v>143010.39000000001</v>
      </c>
      <c r="R69" s="11">
        <f t="shared" si="15"/>
        <v>3012209.48</v>
      </c>
      <c r="S69" s="11">
        <v>2555890.2400000002</v>
      </c>
      <c r="T69" s="11">
        <v>422777.83</v>
      </c>
      <c r="U69" s="11">
        <v>148467.62</v>
      </c>
      <c r="V69" s="4">
        <f t="shared" si="16"/>
        <v>3127135.6900000004</v>
      </c>
      <c r="W69" s="11">
        <v>2555890.2400000002</v>
      </c>
      <c r="X69" s="11">
        <v>422777.83</v>
      </c>
      <c r="Y69" s="11">
        <v>148467.62</v>
      </c>
      <c r="Z69" s="4">
        <f t="shared" si="17"/>
        <v>3127135.6900000004</v>
      </c>
      <c r="AA69" s="11">
        <v>2555890.2400000002</v>
      </c>
      <c r="AB69" s="11">
        <v>422777.83</v>
      </c>
      <c r="AC69" s="11">
        <v>148467.62</v>
      </c>
      <c r="AD69" s="4">
        <f t="shared" si="18"/>
        <v>3127135.6900000004</v>
      </c>
      <c r="AE69" s="11">
        <v>2555890.2400000002</v>
      </c>
      <c r="AF69" s="11">
        <v>422777.83</v>
      </c>
      <c r="AG69" s="11">
        <v>148467.62</v>
      </c>
      <c r="AH69" s="4">
        <f t="shared" si="19"/>
        <v>3127135.6900000004</v>
      </c>
      <c r="AI69" s="11">
        <v>2555890.2400000002</v>
      </c>
      <c r="AJ69" s="11">
        <v>422777.83</v>
      </c>
      <c r="AK69" s="11">
        <v>148467.62</v>
      </c>
      <c r="AL69" s="4">
        <f t="shared" si="20"/>
        <v>3127135.6900000004</v>
      </c>
      <c r="AM69" s="11">
        <v>2555890.2400000002</v>
      </c>
      <c r="AN69" s="11">
        <v>422777.83</v>
      </c>
      <c r="AO69" s="11">
        <v>148467.62</v>
      </c>
      <c r="AP69" s="4">
        <f t="shared" si="21"/>
        <v>3127135.6900000004</v>
      </c>
      <c r="AQ69" s="4">
        <f>82726.36-100</f>
        <v>82626.36</v>
      </c>
      <c r="AR69" s="4">
        <f>13666.09-100</f>
        <v>13566.09</v>
      </c>
      <c r="AS69" s="4">
        <f>4805.42-100</f>
        <v>4705.42</v>
      </c>
      <c r="AT69" s="4">
        <f t="shared" si="22"/>
        <v>100897.87</v>
      </c>
      <c r="AU69" s="11">
        <v>100</v>
      </c>
      <c r="AV69" s="11">
        <v>100</v>
      </c>
      <c r="AW69" s="11">
        <v>100</v>
      </c>
      <c r="AX69" s="11">
        <f>SUM(AU69:AW69)</f>
        <v>300</v>
      </c>
      <c r="AY69" s="11">
        <f t="shared" si="23"/>
        <v>30611914.020000007</v>
      </c>
    </row>
    <row r="70" spans="1:51">
      <c r="A70" s="1" t="s">
        <v>158</v>
      </c>
      <c r="B70" s="1" t="s">
        <v>159</v>
      </c>
      <c r="C70" s="11">
        <v>0</v>
      </c>
      <c r="D70" s="11">
        <v>174042.75</v>
      </c>
      <c r="E70" s="11">
        <v>0</v>
      </c>
      <c r="F70" s="11">
        <f t="shared" si="12"/>
        <v>174042.75</v>
      </c>
      <c r="G70" s="11">
        <v>0</v>
      </c>
      <c r="H70" s="11">
        <v>174042.75</v>
      </c>
      <c r="I70" s="11">
        <v>0</v>
      </c>
      <c r="J70" s="11">
        <f t="shared" si="13"/>
        <v>174042.75</v>
      </c>
      <c r="K70" s="11">
        <v>0</v>
      </c>
      <c r="L70" s="11">
        <v>174042.75</v>
      </c>
      <c r="M70" s="11">
        <v>0</v>
      </c>
      <c r="N70" s="11">
        <f t="shared" si="14"/>
        <v>174042.75</v>
      </c>
      <c r="O70" s="11">
        <v>0</v>
      </c>
      <c r="P70" s="11">
        <v>169547.69</v>
      </c>
      <c r="Q70" s="11">
        <v>0</v>
      </c>
      <c r="R70" s="11">
        <f t="shared" si="15"/>
        <v>169547.69</v>
      </c>
      <c r="S70" s="11">
        <v>0</v>
      </c>
      <c r="T70" s="11">
        <v>176057.82</v>
      </c>
      <c r="U70" s="11">
        <v>0</v>
      </c>
      <c r="V70" s="4">
        <f t="shared" si="16"/>
        <v>176057.82</v>
      </c>
      <c r="W70" s="11">
        <v>0</v>
      </c>
      <c r="X70" s="11">
        <v>176057.82</v>
      </c>
      <c r="Y70" s="11">
        <v>0</v>
      </c>
      <c r="Z70" s="4">
        <f t="shared" si="17"/>
        <v>176057.82</v>
      </c>
      <c r="AA70" s="11">
        <v>0</v>
      </c>
      <c r="AB70" s="11">
        <v>176057.82</v>
      </c>
      <c r="AC70" s="11">
        <v>0</v>
      </c>
      <c r="AD70" s="4">
        <f t="shared" si="18"/>
        <v>176057.82</v>
      </c>
      <c r="AE70" s="11">
        <v>0</v>
      </c>
      <c r="AF70" s="11">
        <v>176057.82</v>
      </c>
      <c r="AG70" s="11">
        <v>0</v>
      </c>
      <c r="AH70" s="4">
        <f t="shared" si="19"/>
        <v>176057.82</v>
      </c>
      <c r="AI70" s="11">
        <v>0</v>
      </c>
      <c r="AJ70" s="11">
        <v>176057.82</v>
      </c>
      <c r="AK70" s="11">
        <v>0</v>
      </c>
      <c r="AL70" s="4">
        <f t="shared" si="20"/>
        <v>176057.82</v>
      </c>
      <c r="AM70" s="11">
        <v>0</v>
      </c>
      <c r="AN70" s="11">
        <v>176057.82</v>
      </c>
      <c r="AO70" s="11">
        <v>0</v>
      </c>
      <c r="AP70" s="4">
        <f t="shared" si="21"/>
        <v>176057.82</v>
      </c>
      <c r="AQ70" s="4">
        <v>0</v>
      </c>
      <c r="AR70" s="4">
        <f>5737.22-100-0.02</f>
        <v>5637.2</v>
      </c>
      <c r="AS70" s="4">
        <v>0</v>
      </c>
      <c r="AT70" s="4">
        <f t="shared" si="22"/>
        <v>5637.2</v>
      </c>
      <c r="AU70" s="11">
        <v>0</v>
      </c>
      <c r="AV70" s="11">
        <v>100</v>
      </c>
      <c r="AW70" s="11">
        <v>0</v>
      </c>
      <c r="AX70" s="11">
        <f>SUM(AU70:AW70)</f>
        <v>100</v>
      </c>
      <c r="AY70" s="11">
        <f t="shared" si="23"/>
        <v>1753760.0600000003</v>
      </c>
    </row>
    <row r="71" spans="1:51">
      <c r="A71" s="1" t="s">
        <v>160</v>
      </c>
      <c r="B71" s="1" t="s">
        <v>161</v>
      </c>
      <c r="C71" s="11">
        <v>271938.86</v>
      </c>
      <c r="D71" s="11">
        <v>80031.070000000007</v>
      </c>
      <c r="E71" s="11">
        <v>77107.360000000001</v>
      </c>
      <c r="F71" s="11">
        <f t="shared" si="12"/>
        <v>429077.29</v>
      </c>
      <c r="G71" s="11">
        <v>271938.86</v>
      </c>
      <c r="H71" s="11">
        <v>80031.070000000007</v>
      </c>
      <c r="I71" s="11">
        <v>77107.360000000001</v>
      </c>
      <c r="J71" s="11">
        <f t="shared" si="13"/>
        <v>429077.29</v>
      </c>
      <c r="K71" s="11">
        <v>271938.86</v>
      </c>
      <c r="L71" s="11">
        <v>80031.070000000007</v>
      </c>
      <c r="M71" s="11">
        <v>77107.360000000001</v>
      </c>
      <c r="N71" s="11">
        <f t="shared" si="14"/>
        <v>429077.29</v>
      </c>
      <c r="O71" s="11">
        <v>950572.86</v>
      </c>
      <c r="P71" s="11">
        <v>77933.83</v>
      </c>
      <c r="Q71" s="11">
        <v>74738.649999999994</v>
      </c>
      <c r="R71" s="11">
        <f t="shared" si="15"/>
        <v>1103245.3399999999</v>
      </c>
      <c r="S71" s="11">
        <v>986846.38</v>
      </c>
      <c r="T71" s="11">
        <v>80801.91</v>
      </c>
      <c r="U71" s="11">
        <v>77590.649999999994</v>
      </c>
      <c r="V71" s="4">
        <f t="shared" si="16"/>
        <v>1145238.94</v>
      </c>
      <c r="W71" s="11">
        <v>986846.38</v>
      </c>
      <c r="X71" s="11">
        <v>80801.91</v>
      </c>
      <c r="Y71" s="11">
        <v>77590.649999999994</v>
      </c>
      <c r="Z71" s="4">
        <f t="shared" si="17"/>
        <v>1145238.94</v>
      </c>
      <c r="AA71" s="11">
        <v>986846.38</v>
      </c>
      <c r="AB71" s="11">
        <v>80801.91</v>
      </c>
      <c r="AC71" s="11">
        <v>77590.649999999994</v>
      </c>
      <c r="AD71" s="4">
        <f t="shared" si="18"/>
        <v>1145238.94</v>
      </c>
      <c r="AE71" s="11">
        <v>986846.38</v>
      </c>
      <c r="AF71" s="11">
        <v>80801.91</v>
      </c>
      <c r="AG71" s="11">
        <v>77590.649999999994</v>
      </c>
      <c r="AH71" s="4">
        <f t="shared" si="19"/>
        <v>1145238.94</v>
      </c>
      <c r="AI71" s="11">
        <v>986846.38</v>
      </c>
      <c r="AJ71" s="11">
        <v>80801.91</v>
      </c>
      <c r="AK71" s="11">
        <v>77590.649999999994</v>
      </c>
      <c r="AL71" s="4">
        <f t="shared" si="20"/>
        <v>1145238.94</v>
      </c>
      <c r="AM71" s="11">
        <v>986846.38</v>
      </c>
      <c r="AN71" s="11">
        <v>80801.91</v>
      </c>
      <c r="AO71" s="11">
        <v>77590.649999999994</v>
      </c>
      <c r="AP71" s="4">
        <f t="shared" si="21"/>
        <v>1145238.94</v>
      </c>
      <c r="AQ71" s="4">
        <v>31841.21</v>
      </c>
      <c r="AR71" s="4">
        <v>2413.35</v>
      </c>
      <c r="AS71" s="4">
        <v>2411.42</v>
      </c>
      <c r="AT71" s="4">
        <f t="shared" si="22"/>
        <v>36665.979999999996</v>
      </c>
      <c r="AU71" s="11">
        <v>100</v>
      </c>
      <c r="AV71" s="11">
        <v>100</v>
      </c>
      <c r="AW71" s="11">
        <v>100</v>
      </c>
      <c r="AX71" s="11">
        <f>SUM(AU71:AW71)</f>
        <v>300</v>
      </c>
      <c r="AY71" s="11">
        <f t="shared" si="23"/>
        <v>9298876.8299999982</v>
      </c>
    </row>
    <row r="72" spans="1:51">
      <c r="A72" s="1" t="s">
        <v>162</v>
      </c>
      <c r="B72" s="1" t="s">
        <v>163</v>
      </c>
      <c r="C72" s="11">
        <v>0</v>
      </c>
      <c r="D72" s="11">
        <v>0</v>
      </c>
      <c r="E72" s="11">
        <v>1124.6400000000001</v>
      </c>
      <c r="F72" s="11">
        <f t="shared" si="12"/>
        <v>1124.6400000000001</v>
      </c>
      <c r="G72" s="11">
        <v>0</v>
      </c>
      <c r="H72" s="11">
        <v>0</v>
      </c>
      <c r="I72" s="11">
        <v>1124.6400000000001</v>
      </c>
      <c r="J72" s="11">
        <f t="shared" si="13"/>
        <v>1124.6400000000001</v>
      </c>
      <c r="K72" s="11">
        <v>0</v>
      </c>
      <c r="L72" s="11">
        <v>0</v>
      </c>
      <c r="M72" s="11">
        <v>1124.6400000000001</v>
      </c>
      <c r="N72" s="11">
        <f t="shared" si="14"/>
        <v>1124.6400000000001</v>
      </c>
      <c r="O72" s="11">
        <v>0</v>
      </c>
      <c r="P72" s="11">
        <v>0</v>
      </c>
      <c r="Q72" s="11">
        <v>0</v>
      </c>
      <c r="R72" s="11">
        <f t="shared" si="15"/>
        <v>0</v>
      </c>
      <c r="S72" s="11">
        <v>0</v>
      </c>
      <c r="T72" s="11">
        <v>0</v>
      </c>
      <c r="U72" s="11">
        <v>0</v>
      </c>
      <c r="V72" s="4">
        <f t="shared" si="16"/>
        <v>0</v>
      </c>
      <c r="W72" s="11">
        <v>0</v>
      </c>
      <c r="X72" s="11">
        <v>0</v>
      </c>
      <c r="Y72" s="11">
        <v>0</v>
      </c>
      <c r="Z72" s="4">
        <f t="shared" si="17"/>
        <v>0</v>
      </c>
      <c r="AA72" s="11">
        <v>0</v>
      </c>
      <c r="AB72" s="11">
        <v>0</v>
      </c>
      <c r="AC72" s="11">
        <v>0</v>
      </c>
      <c r="AD72" s="4">
        <f t="shared" si="18"/>
        <v>0</v>
      </c>
      <c r="AE72" s="11">
        <v>0</v>
      </c>
      <c r="AF72" s="11">
        <v>0</v>
      </c>
      <c r="AG72" s="11">
        <v>0</v>
      </c>
      <c r="AH72" s="4">
        <f t="shared" si="19"/>
        <v>0</v>
      </c>
      <c r="AI72" s="11">
        <v>0</v>
      </c>
      <c r="AJ72" s="11">
        <v>0</v>
      </c>
      <c r="AK72" s="11">
        <v>0</v>
      </c>
      <c r="AL72" s="4">
        <f t="shared" si="20"/>
        <v>0</v>
      </c>
      <c r="AM72" s="11">
        <v>0</v>
      </c>
      <c r="AN72" s="11">
        <v>0</v>
      </c>
      <c r="AO72" s="11">
        <v>0</v>
      </c>
      <c r="AP72" s="4">
        <f t="shared" si="21"/>
        <v>0</v>
      </c>
      <c r="AQ72" s="4">
        <v>0</v>
      </c>
      <c r="AR72" s="4">
        <v>0</v>
      </c>
      <c r="AS72" s="15">
        <v>0</v>
      </c>
      <c r="AT72" s="4">
        <f t="shared" si="22"/>
        <v>0</v>
      </c>
      <c r="AU72" s="11"/>
      <c r="AV72" s="11"/>
      <c r="AW72" s="11"/>
      <c r="AX72" s="11"/>
      <c r="AY72" s="11">
        <f t="shared" si="23"/>
        <v>3373.92</v>
      </c>
    </row>
    <row r="73" spans="1:51">
      <c r="A73" s="1" t="s">
        <v>164</v>
      </c>
      <c r="B73" s="1" t="s">
        <v>165</v>
      </c>
      <c r="C73" s="11">
        <v>12178.91</v>
      </c>
      <c r="D73" s="11">
        <v>0</v>
      </c>
      <c r="E73" s="11">
        <v>21202.86</v>
      </c>
      <c r="F73" s="11">
        <f t="shared" si="12"/>
        <v>33381.770000000004</v>
      </c>
      <c r="G73" s="11">
        <v>12178.91</v>
      </c>
      <c r="H73" s="11">
        <v>0</v>
      </c>
      <c r="I73" s="11">
        <v>21202.86</v>
      </c>
      <c r="J73" s="11">
        <f t="shared" si="13"/>
        <v>33381.770000000004</v>
      </c>
      <c r="K73" s="11">
        <v>12178.91</v>
      </c>
      <c r="L73" s="11">
        <v>0</v>
      </c>
      <c r="M73" s="11">
        <v>21202.86</v>
      </c>
      <c r="N73" s="11">
        <f t="shared" si="14"/>
        <v>33381.770000000004</v>
      </c>
      <c r="O73" s="11">
        <v>84271.85</v>
      </c>
      <c r="P73" s="11">
        <v>0</v>
      </c>
      <c r="Q73" s="11">
        <v>19823.509999999998</v>
      </c>
      <c r="R73" s="11">
        <f t="shared" si="15"/>
        <v>104095.36</v>
      </c>
      <c r="S73" s="11">
        <v>87487.63</v>
      </c>
      <c r="T73" s="11">
        <v>0</v>
      </c>
      <c r="U73" s="11">
        <v>41159.93</v>
      </c>
      <c r="V73" s="4">
        <f t="shared" si="16"/>
        <v>128647.56</v>
      </c>
      <c r="W73" s="11">
        <v>87487.63</v>
      </c>
      <c r="X73" s="11">
        <v>0</v>
      </c>
      <c r="Y73" s="11">
        <v>41159.93</v>
      </c>
      <c r="Z73" s="4">
        <f t="shared" si="17"/>
        <v>128647.56</v>
      </c>
      <c r="AA73" s="11">
        <v>87487.63</v>
      </c>
      <c r="AB73" s="11">
        <v>0</v>
      </c>
      <c r="AC73" s="11">
        <v>41159.93</v>
      </c>
      <c r="AD73" s="4">
        <f t="shared" si="18"/>
        <v>128647.56</v>
      </c>
      <c r="AE73" s="11">
        <v>87487.63</v>
      </c>
      <c r="AF73" s="11">
        <v>0</v>
      </c>
      <c r="AG73" s="11">
        <v>41159.93</v>
      </c>
      <c r="AH73" s="4">
        <f t="shared" si="19"/>
        <v>128647.56</v>
      </c>
      <c r="AI73" s="11">
        <v>87487.63</v>
      </c>
      <c r="AJ73" s="11">
        <v>0</v>
      </c>
      <c r="AK73" s="11">
        <v>41159.93</v>
      </c>
      <c r="AL73" s="4">
        <f t="shared" si="20"/>
        <v>128647.56</v>
      </c>
      <c r="AM73" s="11">
        <v>87487.63</v>
      </c>
      <c r="AN73" s="11">
        <v>0</v>
      </c>
      <c r="AO73" s="11">
        <v>41159.93</v>
      </c>
      <c r="AP73" s="4">
        <f t="shared" si="21"/>
        <v>128647.56</v>
      </c>
      <c r="AQ73" s="4">
        <v>3190.77</v>
      </c>
      <c r="AR73" s="4">
        <v>0</v>
      </c>
      <c r="AS73" s="4">
        <v>21271.73</v>
      </c>
      <c r="AT73" s="4">
        <f t="shared" si="22"/>
        <v>24462.5</v>
      </c>
      <c r="AU73" s="11">
        <v>100</v>
      </c>
      <c r="AV73" s="11">
        <v>0</v>
      </c>
      <c r="AW73" s="11">
        <v>100</v>
      </c>
      <c r="AX73" s="11">
        <f>SUM(AU73:AW73)</f>
        <v>200</v>
      </c>
      <c r="AY73" s="11">
        <f t="shared" si="23"/>
        <v>1000788.53</v>
      </c>
    </row>
    <row r="74" spans="1:51">
      <c r="A74" s="1" t="s">
        <v>166</v>
      </c>
      <c r="B74" s="1" t="s">
        <v>167</v>
      </c>
      <c r="C74" s="11">
        <v>20092.669999999998</v>
      </c>
      <c r="D74" s="11">
        <v>0</v>
      </c>
      <c r="E74" s="11">
        <v>41906.65</v>
      </c>
      <c r="F74" s="11">
        <f t="shared" si="12"/>
        <v>61999.32</v>
      </c>
      <c r="G74" s="11">
        <v>20092.669999999998</v>
      </c>
      <c r="H74" s="11">
        <v>0</v>
      </c>
      <c r="I74" s="11">
        <v>41906.65</v>
      </c>
      <c r="J74" s="11">
        <f t="shared" si="13"/>
        <v>61999.32</v>
      </c>
      <c r="K74" s="11">
        <v>20092.669999999998</v>
      </c>
      <c r="L74" s="11">
        <v>0</v>
      </c>
      <c r="M74" s="11">
        <v>41906.65</v>
      </c>
      <c r="N74" s="11">
        <f t="shared" si="14"/>
        <v>61999.32</v>
      </c>
      <c r="O74" s="11">
        <v>536547.39</v>
      </c>
      <c r="P74" s="11">
        <v>0</v>
      </c>
      <c r="Q74" s="11">
        <v>38071.43</v>
      </c>
      <c r="R74" s="11">
        <f t="shared" si="15"/>
        <v>574618.82000000007</v>
      </c>
      <c r="S74" s="11">
        <v>557021.85</v>
      </c>
      <c r="T74" s="11">
        <v>0</v>
      </c>
      <c r="U74" s="11">
        <v>39524.22</v>
      </c>
      <c r="V74" s="4">
        <f t="shared" si="16"/>
        <v>596546.06999999995</v>
      </c>
      <c r="W74" s="11">
        <v>557021.85</v>
      </c>
      <c r="X74" s="11">
        <v>0</v>
      </c>
      <c r="Y74" s="11">
        <v>39524.22</v>
      </c>
      <c r="Z74" s="4">
        <f t="shared" si="17"/>
        <v>596546.06999999995</v>
      </c>
      <c r="AA74" s="11">
        <v>557021.85</v>
      </c>
      <c r="AB74" s="11">
        <v>0</v>
      </c>
      <c r="AC74" s="11">
        <v>39524.22</v>
      </c>
      <c r="AD74" s="4">
        <f t="shared" si="18"/>
        <v>596546.06999999995</v>
      </c>
      <c r="AE74" s="11">
        <v>557021.85</v>
      </c>
      <c r="AF74" s="11">
        <v>0</v>
      </c>
      <c r="AG74" s="11">
        <v>39524.22</v>
      </c>
      <c r="AH74" s="4">
        <f t="shared" si="19"/>
        <v>596546.06999999995</v>
      </c>
      <c r="AI74" s="11">
        <v>557021.85</v>
      </c>
      <c r="AJ74" s="11">
        <v>0</v>
      </c>
      <c r="AK74" s="11">
        <v>39524.22</v>
      </c>
      <c r="AL74" s="4">
        <f t="shared" si="20"/>
        <v>596546.06999999995</v>
      </c>
      <c r="AM74" s="11">
        <v>557021.85</v>
      </c>
      <c r="AN74" s="11">
        <v>0</v>
      </c>
      <c r="AO74" s="11">
        <v>39524.22</v>
      </c>
      <c r="AP74" s="4">
        <f t="shared" si="21"/>
        <v>596546.06999999995</v>
      </c>
      <c r="AQ74" s="4">
        <v>19541.21</v>
      </c>
      <c r="AR74" s="4">
        <v>0</v>
      </c>
      <c r="AS74" s="4">
        <v>1293.67</v>
      </c>
      <c r="AT74" s="4">
        <f t="shared" si="22"/>
        <v>20834.879999999997</v>
      </c>
      <c r="AU74" s="11">
        <v>100</v>
      </c>
      <c r="AV74" s="11">
        <v>0</v>
      </c>
      <c r="AW74" s="11">
        <v>100</v>
      </c>
      <c r="AX74" s="11">
        <f>SUM(AU74:AW74)</f>
        <v>200</v>
      </c>
      <c r="AY74" s="11">
        <f t="shared" si="23"/>
        <v>4360928.0799999991</v>
      </c>
    </row>
    <row r="75" spans="1:51">
      <c r="A75" s="1" t="s">
        <v>168</v>
      </c>
      <c r="B75" s="1" t="s">
        <v>169</v>
      </c>
      <c r="C75" s="11">
        <v>0</v>
      </c>
      <c r="D75" s="11">
        <v>0</v>
      </c>
      <c r="E75" s="11">
        <v>117000</v>
      </c>
      <c r="F75" s="11">
        <f t="shared" si="12"/>
        <v>117000</v>
      </c>
      <c r="G75" s="11">
        <v>0</v>
      </c>
      <c r="H75" s="11">
        <v>0</v>
      </c>
      <c r="I75" s="11">
        <v>122985.2</v>
      </c>
      <c r="J75" s="11">
        <f t="shared" si="13"/>
        <v>122985.2</v>
      </c>
      <c r="K75" s="11">
        <v>0</v>
      </c>
      <c r="L75" s="11">
        <v>0</v>
      </c>
      <c r="M75" s="11">
        <v>192231.34</v>
      </c>
      <c r="N75" s="11">
        <f t="shared" si="14"/>
        <v>192231.34</v>
      </c>
      <c r="O75" s="11">
        <v>0</v>
      </c>
      <c r="P75" s="11">
        <v>0</v>
      </c>
      <c r="Q75" s="11">
        <v>138553.84</v>
      </c>
      <c r="R75" s="11">
        <f t="shared" si="15"/>
        <v>138553.84</v>
      </c>
      <c r="S75" s="11">
        <v>0</v>
      </c>
      <c r="T75" s="11">
        <v>0</v>
      </c>
      <c r="U75" s="11">
        <v>143841</v>
      </c>
      <c r="V75" s="4">
        <f t="shared" si="16"/>
        <v>143841</v>
      </c>
      <c r="W75" s="11">
        <v>0</v>
      </c>
      <c r="X75" s="11">
        <v>0</v>
      </c>
      <c r="Y75" s="11">
        <v>143841</v>
      </c>
      <c r="Z75" s="4">
        <f t="shared" si="17"/>
        <v>143841</v>
      </c>
      <c r="AA75" s="11">
        <v>0</v>
      </c>
      <c r="AB75" s="11">
        <v>0</v>
      </c>
      <c r="AC75" s="11">
        <v>143841</v>
      </c>
      <c r="AD75" s="4">
        <f t="shared" si="18"/>
        <v>143841</v>
      </c>
      <c r="AE75" s="11">
        <v>0</v>
      </c>
      <c r="AF75" s="11">
        <v>0</v>
      </c>
      <c r="AG75" s="11">
        <v>143841</v>
      </c>
      <c r="AH75" s="4">
        <f t="shared" si="19"/>
        <v>143841</v>
      </c>
      <c r="AI75" s="11">
        <v>0</v>
      </c>
      <c r="AJ75" s="11">
        <v>0</v>
      </c>
      <c r="AK75" s="11">
        <v>143841</v>
      </c>
      <c r="AL75" s="4">
        <f t="shared" si="20"/>
        <v>143841</v>
      </c>
      <c r="AM75" s="11">
        <v>0</v>
      </c>
      <c r="AN75" s="11">
        <v>0</v>
      </c>
      <c r="AO75" s="11">
        <v>143841</v>
      </c>
      <c r="AP75" s="4">
        <f t="shared" si="21"/>
        <v>143841</v>
      </c>
      <c r="AQ75" s="4">
        <v>0</v>
      </c>
      <c r="AR75" s="4">
        <v>0</v>
      </c>
      <c r="AS75" s="4">
        <f>4655.7-100</f>
        <v>4555.7</v>
      </c>
      <c r="AT75" s="4">
        <f t="shared" si="22"/>
        <v>4555.7</v>
      </c>
      <c r="AU75" s="11">
        <v>0</v>
      </c>
      <c r="AV75" s="11">
        <v>0</v>
      </c>
      <c r="AW75" s="11">
        <v>100</v>
      </c>
      <c r="AX75" s="11">
        <f>SUM(AU75:AW75)</f>
        <v>100</v>
      </c>
      <c r="AY75" s="11">
        <f t="shared" si="23"/>
        <v>1438472.0799999998</v>
      </c>
    </row>
    <row r="76" spans="1:51">
      <c r="A76" s="1" t="s">
        <v>170</v>
      </c>
      <c r="B76" s="1" t="s">
        <v>171</v>
      </c>
      <c r="C76" s="11">
        <v>0</v>
      </c>
      <c r="D76" s="11">
        <v>0</v>
      </c>
      <c r="E76" s="11">
        <v>290688.75</v>
      </c>
      <c r="F76" s="11">
        <f t="shared" si="12"/>
        <v>290688.75</v>
      </c>
      <c r="G76" s="11">
        <v>0</v>
      </c>
      <c r="H76" s="11">
        <v>0</v>
      </c>
      <c r="I76" s="11">
        <v>290688.75</v>
      </c>
      <c r="J76" s="11">
        <f t="shared" si="13"/>
        <v>290688.75</v>
      </c>
      <c r="K76" s="11">
        <v>0</v>
      </c>
      <c r="L76" s="11">
        <v>0</v>
      </c>
      <c r="M76" s="11">
        <v>290688.75</v>
      </c>
      <c r="N76" s="11">
        <f t="shared" si="14"/>
        <v>290688.75</v>
      </c>
      <c r="O76" s="11">
        <v>0</v>
      </c>
      <c r="P76" s="11">
        <v>0</v>
      </c>
      <c r="Q76" s="11">
        <v>274025.52</v>
      </c>
      <c r="R76" s="11">
        <f t="shared" si="15"/>
        <v>274025.52</v>
      </c>
      <c r="S76" s="11">
        <v>0</v>
      </c>
      <c r="T76" s="11">
        <v>0</v>
      </c>
      <c r="U76" s="11">
        <v>284482.23</v>
      </c>
      <c r="V76" s="4">
        <f t="shared" si="16"/>
        <v>284482.23</v>
      </c>
      <c r="W76" s="11">
        <v>0</v>
      </c>
      <c r="X76" s="11">
        <v>0</v>
      </c>
      <c r="Y76" s="11">
        <v>284482.23</v>
      </c>
      <c r="Z76" s="4">
        <f t="shared" si="17"/>
        <v>284482.23</v>
      </c>
      <c r="AA76" s="11">
        <v>0</v>
      </c>
      <c r="AB76" s="11">
        <v>0</v>
      </c>
      <c r="AC76" s="11">
        <v>284482.23</v>
      </c>
      <c r="AD76" s="4">
        <f t="shared" si="18"/>
        <v>284482.23</v>
      </c>
      <c r="AE76" s="11">
        <v>0</v>
      </c>
      <c r="AF76" s="11">
        <v>0</v>
      </c>
      <c r="AG76" s="11">
        <v>284482.23</v>
      </c>
      <c r="AH76" s="4">
        <f t="shared" si="19"/>
        <v>284482.23</v>
      </c>
      <c r="AI76" s="11">
        <v>0</v>
      </c>
      <c r="AJ76" s="11">
        <v>0</v>
      </c>
      <c r="AK76" s="11">
        <v>284482.23</v>
      </c>
      <c r="AL76" s="4">
        <f t="shared" si="20"/>
        <v>284482.23</v>
      </c>
      <c r="AM76" s="11">
        <v>0</v>
      </c>
      <c r="AN76" s="11">
        <v>0</v>
      </c>
      <c r="AO76" s="11">
        <v>284482.23</v>
      </c>
      <c r="AP76" s="4">
        <f t="shared" si="21"/>
        <v>284482.23</v>
      </c>
      <c r="AQ76" s="4">
        <v>0</v>
      </c>
      <c r="AR76" s="4">
        <v>0</v>
      </c>
      <c r="AS76" s="4">
        <f>9207.82-100</f>
        <v>9107.82</v>
      </c>
      <c r="AT76" s="4">
        <f t="shared" si="22"/>
        <v>9107.82</v>
      </c>
      <c r="AU76" s="11">
        <v>0</v>
      </c>
      <c r="AV76" s="11">
        <v>0</v>
      </c>
      <c r="AW76" s="11">
        <v>100</v>
      </c>
      <c r="AX76" s="11">
        <f>SUM(AU76:AW76)</f>
        <v>100</v>
      </c>
      <c r="AY76" s="11">
        <f t="shared" si="23"/>
        <v>2862192.9699999997</v>
      </c>
    </row>
    <row r="77" spans="1:51">
      <c r="A77" s="1" t="s">
        <v>172</v>
      </c>
      <c r="B77" s="1" t="s">
        <v>173</v>
      </c>
      <c r="C77" s="11">
        <v>0</v>
      </c>
      <c r="D77" s="11">
        <v>0</v>
      </c>
      <c r="E77" s="11">
        <v>96102.61</v>
      </c>
      <c r="F77" s="11">
        <f t="shared" si="12"/>
        <v>96102.61</v>
      </c>
      <c r="G77" s="11">
        <v>0</v>
      </c>
      <c r="H77" s="11">
        <v>0</v>
      </c>
      <c r="I77" s="11">
        <v>96102.61</v>
      </c>
      <c r="J77" s="11">
        <f t="shared" si="13"/>
        <v>96102.61</v>
      </c>
      <c r="K77" s="11">
        <v>0</v>
      </c>
      <c r="L77" s="11">
        <v>0</v>
      </c>
      <c r="M77" s="11">
        <v>96102.61</v>
      </c>
      <c r="N77" s="11">
        <f t="shared" si="14"/>
        <v>96102.61</v>
      </c>
      <c r="O77" s="11">
        <v>0</v>
      </c>
      <c r="P77" s="11">
        <v>0</v>
      </c>
      <c r="Q77" s="11">
        <v>98595.8</v>
      </c>
      <c r="R77" s="11">
        <f t="shared" si="15"/>
        <v>98595.8</v>
      </c>
      <c r="S77" s="11">
        <v>0</v>
      </c>
      <c r="T77" s="11">
        <v>0</v>
      </c>
      <c r="U77" s="11">
        <v>121550.34</v>
      </c>
      <c r="V77" s="4">
        <f t="shared" si="16"/>
        <v>121550.34</v>
      </c>
      <c r="W77" s="11">
        <v>0</v>
      </c>
      <c r="X77" s="11">
        <v>0</v>
      </c>
      <c r="Y77" s="11">
        <v>121550.34</v>
      </c>
      <c r="Z77" s="4">
        <f t="shared" si="17"/>
        <v>121550.34</v>
      </c>
      <c r="AA77" s="11">
        <v>0</v>
      </c>
      <c r="AB77" s="11">
        <v>0</v>
      </c>
      <c r="AC77" s="11">
        <v>121550.34</v>
      </c>
      <c r="AD77" s="4">
        <f t="shared" si="18"/>
        <v>121550.34</v>
      </c>
      <c r="AE77" s="11">
        <v>0</v>
      </c>
      <c r="AF77" s="11">
        <v>0</v>
      </c>
      <c r="AG77" s="11">
        <v>121550.34</v>
      </c>
      <c r="AH77" s="4">
        <f t="shared" si="19"/>
        <v>121550.34</v>
      </c>
      <c r="AI77" s="11">
        <v>0</v>
      </c>
      <c r="AJ77" s="11">
        <v>0</v>
      </c>
      <c r="AK77" s="11">
        <v>121550.34</v>
      </c>
      <c r="AL77" s="4">
        <f t="shared" si="20"/>
        <v>121550.34</v>
      </c>
      <c r="AM77" s="11">
        <v>0</v>
      </c>
      <c r="AN77" s="11">
        <v>0</v>
      </c>
      <c r="AO77" s="11">
        <v>121550.34</v>
      </c>
      <c r="AP77" s="4">
        <f t="shared" si="21"/>
        <v>121550.34</v>
      </c>
      <c r="AQ77" s="4">
        <v>0</v>
      </c>
      <c r="AR77" s="4">
        <v>0</v>
      </c>
      <c r="AS77" s="4">
        <f>22420.95-100</f>
        <v>22320.95</v>
      </c>
      <c r="AT77" s="4">
        <f t="shared" si="22"/>
        <v>22320.95</v>
      </c>
      <c r="AU77" s="11">
        <v>0</v>
      </c>
      <c r="AV77" s="11">
        <v>0</v>
      </c>
      <c r="AW77" s="11">
        <v>100</v>
      </c>
      <c r="AX77" s="11">
        <f>SUM(AU77:AW77)</f>
        <v>100</v>
      </c>
      <c r="AY77" s="11">
        <f t="shared" si="23"/>
        <v>1138626.6199999999</v>
      </c>
    </row>
    <row r="78" spans="1:51">
      <c r="A78" s="1" t="s">
        <v>174</v>
      </c>
      <c r="B78" s="1" t="s">
        <v>175</v>
      </c>
      <c r="C78" s="11">
        <v>0</v>
      </c>
      <c r="D78" s="11">
        <v>0</v>
      </c>
      <c r="E78" s="11">
        <v>73506.350000000006</v>
      </c>
      <c r="F78" s="11">
        <f t="shared" si="12"/>
        <v>73506.350000000006</v>
      </c>
      <c r="G78" s="11">
        <v>0</v>
      </c>
      <c r="H78" s="11">
        <v>0</v>
      </c>
      <c r="I78" s="11">
        <v>73506.350000000006</v>
      </c>
      <c r="J78" s="11">
        <f t="shared" si="13"/>
        <v>73506.350000000006</v>
      </c>
      <c r="K78" s="11">
        <v>0</v>
      </c>
      <c r="L78" s="11">
        <v>0</v>
      </c>
      <c r="M78" s="11">
        <v>73506.350000000006</v>
      </c>
      <c r="N78" s="11">
        <f t="shared" si="14"/>
        <v>73506.350000000006</v>
      </c>
      <c r="O78" s="11">
        <v>0</v>
      </c>
      <c r="P78" s="11">
        <v>0</v>
      </c>
      <c r="Q78" s="11">
        <v>71037.740000000005</v>
      </c>
      <c r="R78" s="11">
        <f t="shared" si="15"/>
        <v>71037.740000000005</v>
      </c>
      <c r="S78" s="11">
        <v>0</v>
      </c>
      <c r="T78" s="11">
        <v>0</v>
      </c>
      <c r="U78" s="11">
        <v>73748.509999999995</v>
      </c>
      <c r="V78" s="4">
        <f t="shared" si="16"/>
        <v>73748.509999999995</v>
      </c>
      <c r="W78" s="11">
        <v>0</v>
      </c>
      <c r="X78" s="11">
        <v>0</v>
      </c>
      <c r="Y78" s="11">
        <v>73748.509999999995</v>
      </c>
      <c r="Z78" s="4">
        <f t="shared" si="17"/>
        <v>73748.509999999995</v>
      </c>
      <c r="AA78" s="11">
        <v>0</v>
      </c>
      <c r="AB78" s="11">
        <v>0</v>
      </c>
      <c r="AC78" s="11">
        <v>73748.509999999995</v>
      </c>
      <c r="AD78" s="4">
        <f t="shared" si="18"/>
        <v>73748.509999999995</v>
      </c>
      <c r="AE78" s="11">
        <v>0</v>
      </c>
      <c r="AF78" s="11">
        <v>0</v>
      </c>
      <c r="AG78" s="11">
        <v>73748.509999999995</v>
      </c>
      <c r="AH78" s="4">
        <f t="shared" si="19"/>
        <v>73748.509999999995</v>
      </c>
      <c r="AI78" s="11">
        <v>0</v>
      </c>
      <c r="AJ78" s="11">
        <v>0</v>
      </c>
      <c r="AK78" s="11">
        <v>73748.509999999995</v>
      </c>
      <c r="AL78" s="4">
        <f t="shared" si="20"/>
        <v>73748.509999999995</v>
      </c>
      <c r="AM78" s="11">
        <v>0</v>
      </c>
      <c r="AN78" s="11">
        <v>0</v>
      </c>
      <c r="AO78" s="11">
        <v>73748.509999999995</v>
      </c>
      <c r="AP78" s="4">
        <f t="shared" si="21"/>
        <v>73748.509999999995</v>
      </c>
      <c r="AQ78" s="4">
        <v>0</v>
      </c>
      <c r="AR78" s="4">
        <v>0</v>
      </c>
      <c r="AS78" s="4">
        <f>2387.03-100</f>
        <v>2287.0300000000002</v>
      </c>
      <c r="AT78" s="4">
        <f t="shared" si="22"/>
        <v>2287.0300000000002</v>
      </c>
      <c r="AU78" s="11">
        <v>0</v>
      </c>
      <c r="AV78" s="11">
        <v>0</v>
      </c>
      <c r="AW78" s="11">
        <v>100</v>
      </c>
      <c r="AX78" s="11">
        <f>SUM(AU78:AW78)</f>
        <v>100</v>
      </c>
      <c r="AY78" s="11">
        <f t="shared" si="23"/>
        <v>736434.88000000012</v>
      </c>
    </row>
    <row r="79" spans="1:51">
      <c r="A79" s="1" t="s">
        <v>176</v>
      </c>
      <c r="B79" s="1" t="s">
        <v>177</v>
      </c>
      <c r="C79" s="11">
        <v>0</v>
      </c>
      <c r="D79" s="11">
        <v>0</v>
      </c>
      <c r="E79" s="11">
        <v>140902.84</v>
      </c>
      <c r="F79" s="11">
        <f t="shared" si="12"/>
        <v>140902.84</v>
      </c>
      <c r="G79" s="11">
        <v>0</v>
      </c>
      <c r="H79" s="11">
        <v>0</v>
      </c>
      <c r="I79" s="11">
        <v>140902.84</v>
      </c>
      <c r="J79" s="11">
        <f t="shared" si="13"/>
        <v>140902.84</v>
      </c>
      <c r="K79" s="11">
        <v>0</v>
      </c>
      <c r="L79" s="11">
        <v>0</v>
      </c>
      <c r="M79" s="11">
        <v>140902.84</v>
      </c>
      <c r="N79" s="11">
        <f t="shared" si="14"/>
        <v>140902.84</v>
      </c>
      <c r="O79" s="11">
        <v>0</v>
      </c>
      <c r="P79" s="11">
        <v>0</v>
      </c>
      <c r="Q79" s="11">
        <v>134028.04999999999</v>
      </c>
      <c r="R79" s="11">
        <f t="shared" si="15"/>
        <v>134028.04999999999</v>
      </c>
      <c r="S79" s="11">
        <v>0</v>
      </c>
      <c r="T79" s="11">
        <v>0</v>
      </c>
      <c r="U79" s="11">
        <v>139142.51999999999</v>
      </c>
      <c r="V79" s="4">
        <f t="shared" si="16"/>
        <v>139142.51999999999</v>
      </c>
      <c r="W79" s="11">
        <v>0</v>
      </c>
      <c r="X79" s="11">
        <v>0</v>
      </c>
      <c r="Y79" s="11">
        <v>139142.51999999999</v>
      </c>
      <c r="Z79" s="4">
        <f t="shared" si="17"/>
        <v>139142.51999999999</v>
      </c>
      <c r="AA79" s="11">
        <v>0</v>
      </c>
      <c r="AB79" s="11">
        <v>0</v>
      </c>
      <c r="AC79" s="11">
        <v>139142.51999999999</v>
      </c>
      <c r="AD79" s="4">
        <f t="shared" si="18"/>
        <v>139142.51999999999</v>
      </c>
      <c r="AE79" s="11">
        <v>0</v>
      </c>
      <c r="AF79" s="11">
        <v>0</v>
      </c>
      <c r="AG79" s="11">
        <v>139142.51999999999</v>
      </c>
      <c r="AH79" s="4">
        <f t="shared" si="19"/>
        <v>139142.51999999999</v>
      </c>
      <c r="AI79" s="11">
        <v>0</v>
      </c>
      <c r="AJ79" s="11">
        <v>0</v>
      </c>
      <c r="AK79" s="11">
        <v>139142.51999999999</v>
      </c>
      <c r="AL79" s="4">
        <f t="shared" si="20"/>
        <v>139142.51999999999</v>
      </c>
      <c r="AM79" s="11">
        <v>0</v>
      </c>
      <c r="AN79" s="11">
        <v>0</v>
      </c>
      <c r="AO79" s="11">
        <v>139142.51999999999</v>
      </c>
      <c r="AP79" s="4">
        <f t="shared" si="21"/>
        <v>139142.51999999999</v>
      </c>
      <c r="AQ79" s="4">
        <v>0</v>
      </c>
      <c r="AR79" s="4">
        <v>0</v>
      </c>
      <c r="AS79" s="4">
        <v>4403.6000000000004</v>
      </c>
      <c r="AT79" s="4">
        <f t="shared" si="22"/>
        <v>4403.6000000000004</v>
      </c>
      <c r="AU79" s="11">
        <v>0</v>
      </c>
      <c r="AV79" s="11">
        <v>0</v>
      </c>
      <c r="AW79" s="11">
        <v>100</v>
      </c>
      <c r="AX79" s="11">
        <f>SUM(AU79:AW79)</f>
        <v>100</v>
      </c>
      <c r="AY79" s="11">
        <f t="shared" si="23"/>
        <v>1396095.2900000003</v>
      </c>
    </row>
    <row r="80" spans="1:51">
      <c r="A80" s="1" t="s">
        <v>178</v>
      </c>
      <c r="B80" s="1" t="s">
        <v>179</v>
      </c>
      <c r="C80" s="11">
        <v>0</v>
      </c>
      <c r="D80" s="11">
        <v>0</v>
      </c>
      <c r="E80" s="11">
        <v>28363.03</v>
      </c>
      <c r="F80" s="11">
        <f t="shared" si="12"/>
        <v>28363.03</v>
      </c>
      <c r="G80" s="11">
        <v>0</v>
      </c>
      <c r="H80" s="11">
        <v>0</v>
      </c>
      <c r="I80" s="11">
        <v>28363.03</v>
      </c>
      <c r="J80" s="11">
        <f t="shared" si="13"/>
        <v>28363.03</v>
      </c>
      <c r="K80" s="11">
        <v>0</v>
      </c>
      <c r="L80" s="11">
        <v>0</v>
      </c>
      <c r="M80" s="11">
        <v>28363.03</v>
      </c>
      <c r="N80" s="11">
        <f t="shared" si="14"/>
        <v>28363.03</v>
      </c>
      <c r="O80" s="11">
        <v>0</v>
      </c>
      <c r="P80" s="11">
        <v>0</v>
      </c>
      <c r="Q80" s="11">
        <v>29357.599999999999</v>
      </c>
      <c r="R80" s="11">
        <f t="shared" si="15"/>
        <v>29357.599999999999</v>
      </c>
      <c r="S80" s="11">
        <v>0</v>
      </c>
      <c r="T80" s="11">
        <v>0</v>
      </c>
      <c r="U80" s="11">
        <v>30477.88</v>
      </c>
      <c r="V80" s="4">
        <f t="shared" si="16"/>
        <v>30477.88</v>
      </c>
      <c r="W80" s="11">
        <v>0</v>
      </c>
      <c r="X80" s="11">
        <v>0</v>
      </c>
      <c r="Y80" s="11">
        <v>30477.88</v>
      </c>
      <c r="Z80" s="4">
        <f t="shared" si="17"/>
        <v>30477.88</v>
      </c>
      <c r="AA80" s="11">
        <v>0</v>
      </c>
      <c r="AB80" s="11">
        <v>0</v>
      </c>
      <c r="AC80" s="11">
        <v>30477.88</v>
      </c>
      <c r="AD80" s="4">
        <f t="shared" si="18"/>
        <v>30477.88</v>
      </c>
      <c r="AE80" s="11">
        <v>0</v>
      </c>
      <c r="AF80" s="11">
        <v>0</v>
      </c>
      <c r="AG80" s="11">
        <v>30477.88</v>
      </c>
      <c r="AH80" s="4">
        <f t="shared" si="19"/>
        <v>30477.88</v>
      </c>
      <c r="AI80" s="11">
        <v>0</v>
      </c>
      <c r="AJ80" s="11">
        <v>0</v>
      </c>
      <c r="AK80" s="11">
        <v>30477.88</v>
      </c>
      <c r="AL80" s="4">
        <f t="shared" si="20"/>
        <v>30477.88</v>
      </c>
      <c r="AM80" s="11">
        <v>0</v>
      </c>
      <c r="AN80" s="11">
        <v>0</v>
      </c>
      <c r="AO80" s="11">
        <v>30477.88</v>
      </c>
      <c r="AP80" s="4">
        <f t="shared" si="21"/>
        <v>30477.88</v>
      </c>
      <c r="AQ80" s="4">
        <v>0</v>
      </c>
      <c r="AR80" s="4">
        <v>0</v>
      </c>
      <c r="AS80" s="4">
        <v>886.48</v>
      </c>
      <c r="AT80" s="4">
        <f t="shared" si="22"/>
        <v>886.48</v>
      </c>
      <c r="AU80" s="11">
        <v>0</v>
      </c>
      <c r="AV80" s="11">
        <v>0</v>
      </c>
      <c r="AW80" s="11">
        <v>100</v>
      </c>
      <c r="AX80" s="11">
        <f>SUM(AU80:AW80)</f>
        <v>100</v>
      </c>
      <c r="AY80" s="11">
        <f t="shared" si="23"/>
        <v>298300.45</v>
      </c>
    </row>
    <row r="81" spans="1:51">
      <c r="A81" s="1" t="s">
        <v>180</v>
      </c>
      <c r="B81" s="1" t="s">
        <v>181</v>
      </c>
      <c r="C81" s="11">
        <v>0</v>
      </c>
      <c r="D81" s="11">
        <v>0</v>
      </c>
      <c r="E81" s="11">
        <v>66187.91</v>
      </c>
      <c r="F81" s="11">
        <f t="shared" si="12"/>
        <v>66187.91</v>
      </c>
      <c r="G81" s="11">
        <v>0</v>
      </c>
      <c r="H81" s="11">
        <v>0</v>
      </c>
      <c r="I81" s="11">
        <v>66187.91</v>
      </c>
      <c r="J81" s="11">
        <f t="shared" si="13"/>
        <v>66187.91</v>
      </c>
      <c r="K81" s="11">
        <v>0</v>
      </c>
      <c r="L81" s="11">
        <v>0</v>
      </c>
      <c r="M81" s="11">
        <v>66187.91</v>
      </c>
      <c r="N81" s="11">
        <f t="shared" si="14"/>
        <v>66187.91</v>
      </c>
      <c r="O81" s="11">
        <v>0</v>
      </c>
      <c r="P81" s="11">
        <v>0</v>
      </c>
      <c r="Q81" s="11">
        <v>65385.38</v>
      </c>
      <c r="R81" s="11">
        <f t="shared" si="15"/>
        <v>65385.38</v>
      </c>
      <c r="S81" s="11">
        <v>0</v>
      </c>
      <c r="T81" s="11">
        <v>0</v>
      </c>
      <c r="U81" s="11">
        <v>67880.460000000006</v>
      </c>
      <c r="V81" s="4">
        <f t="shared" si="16"/>
        <v>67880.460000000006</v>
      </c>
      <c r="W81" s="11">
        <v>0</v>
      </c>
      <c r="X81" s="11">
        <v>0</v>
      </c>
      <c r="Y81" s="11">
        <v>67880.460000000006</v>
      </c>
      <c r="Z81" s="4">
        <f t="shared" si="17"/>
        <v>67880.460000000006</v>
      </c>
      <c r="AA81" s="11">
        <v>0</v>
      </c>
      <c r="AB81" s="11">
        <v>0</v>
      </c>
      <c r="AC81" s="11">
        <v>67880.460000000006</v>
      </c>
      <c r="AD81" s="4">
        <f t="shared" si="18"/>
        <v>67880.460000000006</v>
      </c>
      <c r="AE81" s="11">
        <v>0</v>
      </c>
      <c r="AF81" s="11">
        <v>0</v>
      </c>
      <c r="AG81" s="11">
        <v>67880.460000000006</v>
      </c>
      <c r="AH81" s="4">
        <f t="shared" si="19"/>
        <v>67880.460000000006</v>
      </c>
      <c r="AI81" s="11">
        <v>0</v>
      </c>
      <c r="AJ81" s="11">
        <v>0</v>
      </c>
      <c r="AK81" s="11">
        <v>67880.460000000006</v>
      </c>
      <c r="AL81" s="4">
        <f t="shared" si="20"/>
        <v>67880.460000000006</v>
      </c>
      <c r="AM81" s="11">
        <v>0</v>
      </c>
      <c r="AN81" s="11">
        <v>0</v>
      </c>
      <c r="AO81" s="11">
        <v>67880.460000000006</v>
      </c>
      <c r="AP81" s="4">
        <f t="shared" si="21"/>
        <v>67880.460000000006</v>
      </c>
      <c r="AQ81" s="4">
        <v>0</v>
      </c>
      <c r="AR81" s="4">
        <v>0</v>
      </c>
      <c r="AS81" s="4">
        <v>2097.09</v>
      </c>
      <c r="AT81" s="4">
        <f t="shared" si="22"/>
        <v>2097.09</v>
      </c>
      <c r="AU81" s="11">
        <v>0</v>
      </c>
      <c r="AV81" s="11">
        <v>0</v>
      </c>
      <c r="AW81" s="11">
        <v>100</v>
      </c>
      <c r="AX81" s="11">
        <f>SUM(AU81:AW81)</f>
        <v>100</v>
      </c>
      <c r="AY81" s="11">
        <f t="shared" si="23"/>
        <v>673428.96</v>
      </c>
    </row>
    <row r="82" spans="1:51">
      <c r="A82" s="1" t="s">
        <v>182</v>
      </c>
      <c r="B82" s="1" t="s">
        <v>183</v>
      </c>
      <c r="C82" s="11">
        <v>0</v>
      </c>
      <c r="D82" s="11">
        <v>0</v>
      </c>
      <c r="E82" s="11">
        <v>0</v>
      </c>
      <c r="F82" s="11">
        <f t="shared" si="12"/>
        <v>0</v>
      </c>
      <c r="G82" s="11">
        <v>0</v>
      </c>
      <c r="H82" s="11">
        <v>0</v>
      </c>
      <c r="I82" s="11">
        <v>0</v>
      </c>
      <c r="J82" s="11">
        <f t="shared" si="13"/>
        <v>0</v>
      </c>
      <c r="K82" s="11">
        <v>0</v>
      </c>
      <c r="L82" s="11">
        <v>0</v>
      </c>
      <c r="M82" s="11">
        <v>0</v>
      </c>
      <c r="N82" s="11">
        <f t="shared" si="14"/>
        <v>0</v>
      </c>
      <c r="O82" s="11">
        <v>0</v>
      </c>
      <c r="P82" s="11">
        <v>0</v>
      </c>
      <c r="Q82" s="11">
        <v>0</v>
      </c>
      <c r="R82" s="11">
        <f t="shared" si="15"/>
        <v>0</v>
      </c>
      <c r="S82" s="11">
        <v>0</v>
      </c>
      <c r="T82" s="11">
        <v>0</v>
      </c>
      <c r="U82" s="11">
        <v>0</v>
      </c>
      <c r="V82" s="4">
        <f t="shared" si="16"/>
        <v>0</v>
      </c>
      <c r="W82" s="11">
        <v>0</v>
      </c>
      <c r="X82" s="11">
        <v>0</v>
      </c>
      <c r="Y82" s="11">
        <v>0</v>
      </c>
      <c r="Z82" s="4">
        <f t="shared" si="17"/>
        <v>0</v>
      </c>
      <c r="AA82" s="11">
        <v>0</v>
      </c>
      <c r="AB82" s="11">
        <v>0</v>
      </c>
      <c r="AC82" s="11">
        <v>0</v>
      </c>
      <c r="AD82" s="4">
        <f t="shared" si="18"/>
        <v>0</v>
      </c>
      <c r="AE82" s="11">
        <v>0</v>
      </c>
      <c r="AF82" s="11">
        <v>0</v>
      </c>
      <c r="AG82" s="11">
        <v>0</v>
      </c>
      <c r="AH82" s="4">
        <f t="shared" si="19"/>
        <v>0</v>
      </c>
      <c r="AI82" s="11">
        <v>0</v>
      </c>
      <c r="AJ82" s="11">
        <v>0</v>
      </c>
      <c r="AK82" s="11">
        <v>0</v>
      </c>
      <c r="AL82" s="4">
        <f t="shared" si="20"/>
        <v>0</v>
      </c>
      <c r="AM82" s="11">
        <v>0</v>
      </c>
      <c r="AN82" s="11">
        <v>0</v>
      </c>
      <c r="AO82" s="11">
        <v>0</v>
      </c>
      <c r="AP82" s="4">
        <f t="shared" si="21"/>
        <v>0</v>
      </c>
      <c r="AQ82" s="4">
        <v>0</v>
      </c>
      <c r="AR82" s="4">
        <v>0</v>
      </c>
      <c r="AS82" s="4">
        <v>0</v>
      </c>
      <c r="AT82" s="4">
        <f t="shared" si="22"/>
        <v>0</v>
      </c>
      <c r="AU82" s="11"/>
      <c r="AV82" s="11"/>
      <c r="AW82" s="11"/>
      <c r="AX82" s="11"/>
      <c r="AY82" s="11">
        <f t="shared" si="23"/>
        <v>0</v>
      </c>
    </row>
    <row r="83" spans="1:51">
      <c r="A83" s="1" t="s">
        <v>184</v>
      </c>
      <c r="B83" s="1" t="s">
        <v>185</v>
      </c>
      <c r="C83" s="11">
        <v>0</v>
      </c>
      <c r="D83" s="11">
        <v>0</v>
      </c>
      <c r="E83" s="11">
        <v>38784.54</v>
      </c>
      <c r="F83" s="11">
        <f t="shared" si="12"/>
        <v>38784.54</v>
      </c>
      <c r="G83" s="11">
        <v>0</v>
      </c>
      <c r="H83" s="11">
        <v>0</v>
      </c>
      <c r="I83" s="11">
        <v>38784.54</v>
      </c>
      <c r="J83" s="11">
        <f t="shared" si="13"/>
        <v>38784.54</v>
      </c>
      <c r="K83" s="11">
        <v>0</v>
      </c>
      <c r="L83" s="11">
        <v>0</v>
      </c>
      <c r="M83" s="11">
        <v>38784.54</v>
      </c>
      <c r="N83" s="11">
        <f t="shared" si="14"/>
        <v>38784.54</v>
      </c>
      <c r="O83" s="11">
        <v>0</v>
      </c>
      <c r="P83" s="11">
        <v>0</v>
      </c>
      <c r="Q83" s="11">
        <v>37088.480000000003</v>
      </c>
      <c r="R83" s="11">
        <f t="shared" si="15"/>
        <v>37088.480000000003</v>
      </c>
      <c r="S83" s="11">
        <v>0</v>
      </c>
      <c r="T83" s="11">
        <v>0</v>
      </c>
      <c r="U83" s="11">
        <v>38503.760000000002</v>
      </c>
      <c r="V83" s="4">
        <f t="shared" si="16"/>
        <v>38503.760000000002</v>
      </c>
      <c r="W83" s="11">
        <v>0</v>
      </c>
      <c r="X83" s="11">
        <v>0</v>
      </c>
      <c r="Y83" s="11">
        <v>38503.760000000002</v>
      </c>
      <c r="Z83" s="4">
        <f t="shared" si="17"/>
        <v>38503.760000000002</v>
      </c>
      <c r="AA83" s="11">
        <v>0</v>
      </c>
      <c r="AB83" s="11">
        <v>0</v>
      </c>
      <c r="AC83" s="11">
        <v>38503.760000000002</v>
      </c>
      <c r="AD83" s="4">
        <f t="shared" si="18"/>
        <v>38503.760000000002</v>
      </c>
      <c r="AE83" s="11">
        <v>0</v>
      </c>
      <c r="AF83" s="11">
        <v>0</v>
      </c>
      <c r="AG83" s="11">
        <v>38503.760000000002</v>
      </c>
      <c r="AH83" s="4">
        <f t="shared" si="19"/>
        <v>38503.760000000002</v>
      </c>
      <c r="AI83" s="11">
        <v>0</v>
      </c>
      <c r="AJ83" s="11">
        <v>0</v>
      </c>
      <c r="AK83" s="11">
        <v>38503.760000000002</v>
      </c>
      <c r="AL83" s="4">
        <f t="shared" si="20"/>
        <v>38503.760000000002</v>
      </c>
      <c r="AM83" s="11">
        <v>0</v>
      </c>
      <c r="AN83" s="11">
        <v>0</v>
      </c>
      <c r="AO83" s="11">
        <v>38503.760000000002</v>
      </c>
      <c r="AP83" s="4">
        <f t="shared" si="21"/>
        <v>38503.760000000002</v>
      </c>
      <c r="AQ83" s="4">
        <v>0</v>
      </c>
      <c r="AR83" s="4">
        <v>0</v>
      </c>
      <c r="AS83" s="4">
        <v>1146.27</v>
      </c>
      <c r="AT83" s="4">
        <f t="shared" si="22"/>
        <v>1146.27</v>
      </c>
      <c r="AU83" s="11">
        <v>0</v>
      </c>
      <c r="AV83" s="11">
        <v>0</v>
      </c>
      <c r="AW83" s="11">
        <v>100</v>
      </c>
      <c r="AX83" s="11">
        <f>SUM(AU83:AW83)</f>
        <v>100</v>
      </c>
      <c r="AY83" s="11">
        <f t="shared" si="23"/>
        <v>385710.93000000005</v>
      </c>
    </row>
    <row r="84" spans="1:51">
      <c r="A84" s="1" t="s">
        <v>186</v>
      </c>
      <c r="B84" s="1" t="s">
        <v>187</v>
      </c>
      <c r="C84" s="11">
        <v>0</v>
      </c>
      <c r="D84" s="11">
        <v>192900.06</v>
      </c>
      <c r="E84" s="11">
        <v>0</v>
      </c>
      <c r="F84" s="11">
        <f t="shared" si="12"/>
        <v>192900.06</v>
      </c>
      <c r="G84" s="11">
        <v>0</v>
      </c>
      <c r="H84" s="11">
        <v>192900.06</v>
      </c>
      <c r="I84" s="11">
        <v>0</v>
      </c>
      <c r="J84" s="11">
        <f t="shared" si="13"/>
        <v>192900.06</v>
      </c>
      <c r="K84" s="11">
        <v>0</v>
      </c>
      <c r="L84" s="11">
        <v>192900.06</v>
      </c>
      <c r="M84" s="11">
        <v>0</v>
      </c>
      <c r="N84" s="11">
        <f t="shared" si="14"/>
        <v>192900.06</v>
      </c>
      <c r="O84" s="11">
        <v>0</v>
      </c>
      <c r="P84" s="11">
        <v>187715.97</v>
      </c>
      <c r="Q84" s="11">
        <v>0</v>
      </c>
      <c r="R84" s="11">
        <f t="shared" si="15"/>
        <v>187715.97</v>
      </c>
      <c r="S84" s="11">
        <v>0</v>
      </c>
      <c r="T84" s="11">
        <v>194725.79</v>
      </c>
      <c r="U84" s="11">
        <v>0</v>
      </c>
      <c r="V84" s="4">
        <f t="shared" si="16"/>
        <v>194725.79</v>
      </c>
      <c r="W84" s="11">
        <v>0</v>
      </c>
      <c r="X84" s="11">
        <v>194725.79</v>
      </c>
      <c r="Y84" s="11">
        <v>0</v>
      </c>
      <c r="Z84" s="4">
        <f t="shared" si="17"/>
        <v>194725.79</v>
      </c>
      <c r="AA84" s="11">
        <v>0</v>
      </c>
      <c r="AB84" s="11">
        <v>194725.79</v>
      </c>
      <c r="AC84" s="11">
        <v>0</v>
      </c>
      <c r="AD84" s="4">
        <f t="shared" si="18"/>
        <v>194725.79</v>
      </c>
      <c r="AE84" s="11">
        <v>0</v>
      </c>
      <c r="AF84" s="11">
        <v>194725.79</v>
      </c>
      <c r="AG84" s="11">
        <v>0</v>
      </c>
      <c r="AH84" s="4">
        <f t="shared" si="19"/>
        <v>194725.79</v>
      </c>
      <c r="AI84" s="11">
        <v>0</v>
      </c>
      <c r="AJ84" s="11">
        <v>194725.79</v>
      </c>
      <c r="AK84" s="11">
        <v>0</v>
      </c>
      <c r="AL84" s="4">
        <f t="shared" si="20"/>
        <v>194725.79</v>
      </c>
      <c r="AM84" s="11">
        <v>0</v>
      </c>
      <c r="AN84" s="11">
        <v>194725.79</v>
      </c>
      <c r="AO84" s="11">
        <v>0</v>
      </c>
      <c r="AP84" s="4">
        <f t="shared" si="21"/>
        <v>194725.79</v>
      </c>
      <c r="AQ84" s="4">
        <v>0</v>
      </c>
      <c r="AR84" s="4">
        <v>6054.98</v>
      </c>
      <c r="AS84" s="4">
        <v>0</v>
      </c>
      <c r="AT84" s="4">
        <f t="shared" si="22"/>
        <v>6054.98</v>
      </c>
      <c r="AU84" s="11">
        <v>0</v>
      </c>
      <c r="AV84" s="11">
        <v>100</v>
      </c>
      <c r="AW84" s="11">
        <v>0</v>
      </c>
      <c r="AX84" s="11">
        <f>SUM(AU84:AW84)</f>
        <v>100</v>
      </c>
      <c r="AY84" s="11">
        <f t="shared" si="23"/>
        <v>1940925.87</v>
      </c>
    </row>
    <row r="85" spans="1:51">
      <c r="A85" s="1" t="s">
        <v>188</v>
      </c>
      <c r="B85" s="1" t="s">
        <v>189</v>
      </c>
      <c r="C85" s="11">
        <v>0</v>
      </c>
      <c r="D85" s="11">
        <v>0</v>
      </c>
      <c r="E85" s="11">
        <v>44544.37</v>
      </c>
      <c r="F85" s="11">
        <f t="shared" si="12"/>
        <v>44544.37</v>
      </c>
      <c r="G85" s="11">
        <v>0</v>
      </c>
      <c r="H85" s="11">
        <v>0</v>
      </c>
      <c r="I85" s="11">
        <v>44544.37</v>
      </c>
      <c r="J85" s="11">
        <f t="shared" si="13"/>
        <v>44544.37</v>
      </c>
      <c r="K85" s="11">
        <v>0</v>
      </c>
      <c r="L85" s="11">
        <v>0</v>
      </c>
      <c r="M85" s="11">
        <v>44544.37</v>
      </c>
      <c r="N85" s="11">
        <f t="shared" si="14"/>
        <v>44544.37</v>
      </c>
      <c r="O85" s="11">
        <v>0</v>
      </c>
      <c r="P85" s="11">
        <v>0</v>
      </c>
      <c r="Q85" s="11">
        <v>43194.04</v>
      </c>
      <c r="R85" s="11">
        <f t="shared" si="15"/>
        <v>43194.04</v>
      </c>
      <c r="S85" s="11">
        <v>0</v>
      </c>
      <c r="T85" s="11">
        <v>0</v>
      </c>
      <c r="U85" s="11">
        <v>44842.31</v>
      </c>
      <c r="V85" s="4">
        <f t="shared" si="16"/>
        <v>44842.31</v>
      </c>
      <c r="W85" s="11">
        <v>0</v>
      </c>
      <c r="X85" s="11">
        <v>0</v>
      </c>
      <c r="Y85" s="11">
        <v>44842.31</v>
      </c>
      <c r="Z85" s="4">
        <f t="shared" si="17"/>
        <v>44842.31</v>
      </c>
      <c r="AA85" s="11">
        <v>0</v>
      </c>
      <c r="AB85" s="11">
        <v>0</v>
      </c>
      <c r="AC85" s="11">
        <v>44842.31</v>
      </c>
      <c r="AD85" s="4">
        <f t="shared" si="18"/>
        <v>44842.31</v>
      </c>
      <c r="AE85" s="11">
        <v>0</v>
      </c>
      <c r="AF85" s="11">
        <v>0</v>
      </c>
      <c r="AG85" s="11">
        <v>44842.31</v>
      </c>
      <c r="AH85" s="4">
        <f t="shared" si="19"/>
        <v>44842.31</v>
      </c>
      <c r="AI85" s="11">
        <v>0</v>
      </c>
      <c r="AJ85" s="11">
        <v>0</v>
      </c>
      <c r="AK85" s="11">
        <v>44842.31</v>
      </c>
      <c r="AL85" s="4">
        <f t="shared" si="20"/>
        <v>44842.31</v>
      </c>
      <c r="AM85" s="11">
        <v>0</v>
      </c>
      <c r="AN85" s="11">
        <v>0</v>
      </c>
      <c r="AO85" s="11">
        <v>44842.31</v>
      </c>
      <c r="AP85" s="4">
        <f t="shared" si="21"/>
        <v>44842.31</v>
      </c>
      <c r="AQ85" s="4">
        <v>0</v>
      </c>
      <c r="AR85" s="4">
        <v>0</v>
      </c>
      <c r="AS85" s="4">
        <v>1351.42</v>
      </c>
      <c r="AT85" s="4">
        <f t="shared" si="22"/>
        <v>1351.42</v>
      </c>
      <c r="AU85" s="11">
        <v>0</v>
      </c>
      <c r="AV85" s="11">
        <v>0</v>
      </c>
      <c r="AW85" s="11">
        <v>100</v>
      </c>
      <c r="AX85" s="11">
        <f>SUM(AU85:AW85)</f>
        <v>100</v>
      </c>
      <c r="AY85" s="11">
        <f t="shared" si="23"/>
        <v>447332.43</v>
      </c>
    </row>
    <row r="86" spans="1:51">
      <c r="A86" s="1" t="s">
        <v>190</v>
      </c>
      <c r="B86" s="1" t="s">
        <v>191</v>
      </c>
      <c r="C86" s="11">
        <v>0</v>
      </c>
      <c r="D86" s="11">
        <v>0</v>
      </c>
      <c r="E86" s="11">
        <v>82710.150000000009</v>
      </c>
      <c r="F86" s="11">
        <f t="shared" si="12"/>
        <v>82710.150000000009</v>
      </c>
      <c r="G86" s="11">
        <v>0</v>
      </c>
      <c r="H86" s="11">
        <v>0</v>
      </c>
      <c r="I86" s="11">
        <v>75191.06</v>
      </c>
      <c r="J86" s="11">
        <f t="shared" si="13"/>
        <v>75191.06</v>
      </c>
      <c r="K86" s="11">
        <v>0</v>
      </c>
      <c r="L86" s="11">
        <v>0</v>
      </c>
      <c r="M86" s="11">
        <v>67671.94</v>
      </c>
      <c r="N86" s="11">
        <f t="shared" si="14"/>
        <v>67671.94</v>
      </c>
      <c r="O86" s="11">
        <v>0</v>
      </c>
      <c r="P86" s="11">
        <v>0</v>
      </c>
      <c r="Q86" s="11">
        <v>77023.59</v>
      </c>
      <c r="R86" s="11">
        <f t="shared" si="15"/>
        <v>77023.59</v>
      </c>
      <c r="S86" s="11">
        <v>0</v>
      </c>
      <c r="T86" s="11">
        <v>0</v>
      </c>
      <c r="U86" s="11">
        <v>79962.78</v>
      </c>
      <c r="V86" s="4">
        <f t="shared" si="16"/>
        <v>79962.78</v>
      </c>
      <c r="W86" s="11">
        <v>0</v>
      </c>
      <c r="X86" s="11">
        <v>0</v>
      </c>
      <c r="Y86" s="11">
        <v>79962.78</v>
      </c>
      <c r="Z86" s="4">
        <f t="shared" si="17"/>
        <v>79962.78</v>
      </c>
      <c r="AA86" s="11">
        <v>0</v>
      </c>
      <c r="AB86" s="11">
        <v>0</v>
      </c>
      <c r="AC86" s="11">
        <v>79962.78</v>
      </c>
      <c r="AD86" s="4">
        <f t="shared" si="18"/>
        <v>79962.78</v>
      </c>
      <c r="AE86" s="11">
        <v>0</v>
      </c>
      <c r="AF86" s="11">
        <v>0</v>
      </c>
      <c r="AG86" s="11">
        <v>79962.78</v>
      </c>
      <c r="AH86" s="4">
        <f t="shared" si="19"/>
        <v>79962.78</v>
      </c>
      <c r="AI86" s="11">
        <v>0</v>
      </c>
      <c r="AJ86" s="11">
        <v>0</v>
      </c>
      <c r="AK86" s="11">
        <v>79962.78</v>
      </c>
      <c r="AL86" s="4">
        <f t="shared" si="20"/>
        <v>79962.78</v>
      </c>
      <c r="AM86" s="11">
        <v>0</v>
      </c>
      <c r="AN86" s="11">
        <v>0</v>
      </c>
      <c r="AO86" s="11">
        <v>79962.78</v>
      </c>
      <c r="AP86" s="4">
        <f t="shared" si="21"/>
        <v>79962.78</v>
      </c>
      <c r="AQ86" s="4">
        <v>0</v>
      </c>
      <c r="AR86" s="4">
        <v>0</v>
      </c>
      <c r="AS86" s="4">
        <v>2488.1799999999998</v>
      </c>
      <c r="AT86" s="4">
        <f t="shared" si="22"/>
        <v>2488.1799999999998</v>
      </c>
      <c r="AU86" s="11">
        <v>0</v>
      </c>
      <c r="AV86" s="11">
        <v>0</v>
      </c>
      <c r="AW86" s="11">
        <v>100</v>
      </c>
      <c r="AX86" s="11">
        <f>SUM(AU86:AW86)</f>
        <v>100</v>
      </c>
      <c r="AY86" s="11">
        <f t="shared" si="23"/>
        <v>784961.60000000021</v>
      </c>
    </row>
    <row r="87" spans="1:51">
      <c r="A87" s="1" t="s">
        <v>192</v>
      </c>
      <c r="B87" s="1" t="s">
        <v>193</v>
      </c>
      <c r="C87" s="11">
        <v>0</v>
      </c>
      <c r="D87" s="11">
        <v>224021.25</v>
      </c>
      <c r="E87" s="11">
        <v>0</v>
      </c>
      <c r="F87" s="11">
        <f t="shared" si="12"/>
        <v>224021.25</v>
      </c>
      <c r="G87" s="11">
        <v>0</v>
      </c>
      <c r="H87" s="11">
        <v>224021.25</v>
      </c>
      <c r="I87" s="11">
        <v>0</v>
      </c>
      <c r="J87" s="11">
        <f t="shared" si="13"/>
        <v>224021.25</v>
      </c>
      <c r="K87" s="11">
        <v>0</v>
      </c>
      <c r="L87" s="11">
        <v>224021.25</v>
      </c>
      <c r="M87" s="11">
        <v>0</v>
      </c>
      <c r="N87" s="11">
        <f t="shared" si="14"/>
        <v>224021.25</v>
      </c>
      <c r="O87" s="11">
        <v>0</v>
      </c>
      <c r="P87" s="11">
        <v>217931.82</v>
      </c>
      <c r="Q87" s="11">
        <v>0</v>
      </c>
      <c r="R87" s="11">
        <f t="shared" si="15"/>
        <v>217931.82</v>
      </c>
      <c r="S87" s="11">
        <v>0</v>
      </c>
      <c r="T87" s="11">
        <v>226248.02</v>
      </c>
      <c r="U87" s="11">
        <v>0</v>
      </c>
      <c r="V87" s="4">
        <f t="shared" si="16"/>
        <v>226248.02</v>
      </c>
      <c r="W87" s="11">
        <v>0</v>
      </c>
      <c r="X87" s="11">
        <v>226248.02</v>
      </c>
      <c r="Y87" s="11">
        <v>0</v>
      </c>
      <c r="Z87" s="4">
        <f t="shared" si="17"/>
        <v>226248.02</v>
      </c>
      <c r="AA87" s="11">
        <v>0</v>
      </c>
      <c r="AB87" s="11">
        <v>226248.02</v>
      </c>
      <c r="AC87" s="11">
        <v>0</v>
      </c>
      <c r="AD87" s="4">
        <f t="shared" si="18"/>
        <v>226248.02</v>
      </c>
      <c r="AE87" s="11">
        <v>0</v>
      </c>
      <c r="AF87" s="11">
        <v>226248.02</v>
      </c>
      <c r="AG87" s="11">
        <v>0</v>
      </c>
      <c r="AH87" s="4">
        <f t="shared" si="19"/>
        <v>226248.02</v>
      </c>
      <c r="AI87" s="11">
        <v>0</v>
      </c>
      <c r="AJ87" s="11">
        <v>226248.02</v>
      </c>
      <c r="AK87" s="11">
        <v>0</v>
      </c>
      <c r="AL87" s="4">
        <f t="shared" si="20"/>
        <v>226248.02</v>
      </c>
      <c r="AM87" s="11">
        <v>0</v>
      </c>
      <c r="AN87" s="11">
        <v>226248.02</v>
      </c>
      <c r="AO87" s="11">
        <v>0</v>
      </c>
      <c r="AP87" s="4">
        <f t="shared" si="21"/>
        <v>226248.02</v>
      </c>
      <c r="AQ87" s="4">
        <v>0</v>
      </c>
      <c r="AR87" s="4">
        <v>7222.94</v>
      </c>
      <c r="AS87" s="4">
        <v>0</v>
      </c>
      <c r="AT87" s="4">
        <f t="shared" si="22"/>
        <v>7222.94</v>
      </c>
      <c r="AU87" s="11">
        <v>0</v>
      </c>
      <c r="AV87" s="11">
        <v>100</v>
      </c>
      <c r="AW87" s="11">
        <v>0</v>
      </c>
      <c r="AX87" s="11">
        <f>SUM(AU87:AW87)</f>
        <v>100</v>
      </c>
      <c r="AY87" s="11">
        <f t="shared" si="23"/>
        <v>2254806.63</v>
      </c>
    </row>
    <row r="88" spans="1:51">
      <c r="A88" s="1" t="s">
        <v>194</v>
      </c>
      <c r="B88" s="1" t="s">
        <v>195</v>
      </c>
      <c r="C88" s="11">
        <v>71075.83</v>
      </c>
      <c r="D88" s="11">
        <v>0</v>
      </c>
      <c r="E88" s="11">
        <v>27501.52</v>
      </c>
      <c r="F88" s="11">
        <f t="shared" si="12"/>
        <v>98577.35</v>
      </c>
      <c r="G88" s="11">
        <v>71075.83</v>
      </c>
      <c r="H88" s="11">
        <v>0</v>
      </c>
      <c r="I88" s="11">
        <v>27501.52</v>
      </c>
      <c r="J88" s="11">
        <f t="shared" si="13"/>
        <v>98577.35</v>
      </c>
      <c r="K88" s="11">
        <v>71075.83</v>
      </c>
      <c r="L88" s="11">
        <v>0</v>
      </c>
      <c r="M88" s="11">
        <v>27501.51</v>
      </c>
      <c r="N88" s="11">
        <f t="shared" si="14"/>
        <v>98577.34</v>
      </c>
      <c r="O88" s="11">
        <v>194073.18</v>
      </c>
      <c r="P88" s="11">
        <v>0</v>
      </c>
      <c r="Q88" s="11">
        <v>26149.53</v>
      </c>
      <c r="R88" s="11">
        <f t="shared" si="15"/>
        <v>220222.71</v>
      </c>
      <c r="S88" s="11">
        <v>201478.94</v>
      </c>
      <c r="T88" s="11">
        <v>0</v>
      </c>
      <c r="U88" s="11">
        <v>27147.38</v>
      </c>
      <c r="V88" s="4">
        <f t="shared" si="16"/>
        <v>228626.32</v>
      </c>
      <c r="W88" s="11">
        <v>201478.94</v>
      </c>
      <c r="X88" s="11">
        <v>0</v>
      </c>
      <c r="Y88" s="11">
        <v>27147.38</v>
      </c>
      <c r="Z88" s="4">
        <f t="shared" si="17"/>
        <v>228626.32</v>
      </c>
      <c r="AA88" s="11">
        <v>201478.94</v>
      </c>
      <c r="AB88" s="11">
        <v>0</v>
      </c>
      <c r="AC88" s="11">
        <v>27147.38</v>
      </c>
      <c r="AD88" s="4">
        <f t="shared" si="18"/>
        <v>228626.32</v>
      </c>
      <c r="AE88" s="11">
        <v>201478.94</v>
      </c>
      <c r="AF88" s="11">
        <v>0</v>
      </c>
      <c r="AG88" s="11">
        <v>27147.38</v>
      </c>
      <c r="AH88" s="4">
        <f t="shared" si="19"/>
        <v>228626.32</v>
      </c>
      <c r="AI88" s="11">
        <v>201478.94</v>
      </c>
      <c r="AJ88" s="11">
        <v>0</v>
      </c>
      <c r="AK88" s="11">
        <v>27147.38</v>
      </c>
      <c r="AL88" s="4">
        <f t="shared" si="20"/>
        <v>228626.32</v>
      </c>
      <c r="AM88" s="11">
        <v>201478.94</v>
      </c>
      <c r="AN88" s="11">
        <v>0</v>
      </c>
      <c r="AO88" s="11">
        <v>27147.38</v>
      </c>
      <c r="AP88" s="4">
        <f t="shared" si="21"/>
        <v>228626.32</v>
      </c>
      <c r="AQ88" s="4">
        <v>6421.26</v>
      </c>
      <c r="AR88" s="4">
        <v>0</v>
      </c>
      <c r="AS88" s="4">
        <v>778.72</v>
      </c>
      <c r="AT88" s="4">
        <f t="shared" si="22"/>
        <v>7199.9800000000005</v>
      </c>
      <c r="AU88" s="11">
        <v>100</v>
      </c>
      <c r="AV88" s="11">
        <v>0</v>
      </c>
      <c r="AW88" s="11">
        <v>100</v>
      </c>
      <c r="AX88" s="11">
        <f>SUM(AU88:AW88)</f>
        <v>200</v>
      </c>
      <c r="AY88" s="11">
        <f t="shared" si="23"/>
        <v>1895112.6500000004</v>
      </c>
    </row>
    <row r="89" spans="1:51">
      <c r="A89" s="5" t="s">
        <v>196</v>
      </c>
      <c r="B89" s="5" t="s">
        <v>197</v>
      </c>
      <c r="C89" s="11">
        <v>0</v>
      </c>
      <c r="D89" s="11">
        <v>0</v>
      </c>
      <c r="E89" s="11">
        <v>30771.5</v>
      </c>
      <c r="F89" s="11">
        <f t="shared" si="12"/>
        <v>30771.5</v>
      </c>
      <c r="G89" s="11">
        <v>0</v>
      </c>
      <c r="H89" s="11">
        <v>0</v>
      </c>
      <c r="I89" s="11">
        <v>30771.5</v>
      </c>
      <c r="J89" s="11">
        <f t="shared" si="13"/>
        <v>30771.5</v>
      </c>
      <c r="K89" s="11">
        <v>0</v>
      </c>
      <c r="L89" s="11">
        <v>0</v>
      </c>
      <c r="M89" s="11">
        <v>30771.5</v>
      </c>
      <c r="N89" s="11">
        <f t="shared" si="14"/>
        <v>30771.5</v>
      </c>
      <c r="O89" s="11">
        <v>0</v>
      </c>
      <c r="P89" s="11">
        <v>0</v>
      </c>
      <c r="Q89" s="11">
        <v>30390.74</v>
      </c>
      <c r="R89" s="11">
        <f t="shared" si="15"/>
        <v>30390.74</v>
      </c>
      <c r="S89" s="11">
        <v>0</v>
      </c>
      <c r="T89" s="11">
        <v>0</v>
      </c>
      <c r="U89" s="11">
        <v>31550.44</v>
      </c>
      <c r="V89" s="4">
        <f t="shared" si="16"/>
        <v>31550.44</v>
      </c>
      <c r="W89" s="11">
        <v>0</v>
      </c>
      <c r="X89" s="11">
        <v>0</v>
      </c>
      <c r="Y89" s="11">
        <v>31550.44</v>
      </c>
      <c r="Z89" s="4">
        <f t="shared" si="17"/>
        <v>31550.44</v>
      </c>
      <c r="AA89" s="11">
        <v>0</v>
      </c>
      <c r="AB89" s="11">
        <v>0</v>
      </c>
      <c r="AC89" s="11">
        <v>31550.44</v>
      </c>
      <c r="AD89" s="4">
        <f t="shared" si="18"/>
        <v>31550.44</v>
      </c>
      <c r="AE89" s="11">
        <v>0</v>
      </c>
      <c r="AF89" s="11">
        <v>0</v>
      </c>
      <c r="AG89" s="11">
        <v>31550.44</v>
      </c>
      <c r="AH89" s="4">
        <f t="shared" si="19"/>
        <v>31550.44</v>
      </c>
      <c r="AI89" s="11">
        <v>0</v>
      </c>
      <c r="AJ89" s="11">
        <v>0</v>
      </c>
      <c r="AK89" s="11">
        <v>31550.44</v>
      </c>
      <c r="AL89" s="4">
        <f t="shared" si="20"/>
        <v>31550.44</v>
      </c>
      <c r="AM89" s="11">
        <v>0</v>
      </c>
      <c r="AN89" s="11">
        <v>0</v>
      </c>
      <c r="AO89" s="11">
        <v>31550.44</v>
      </c>
      <c r="AP89" s="4">
        <f t="shared" si="21"/>
        <v>31550.44</v>
      </c>
      <c r="AQ89" s="4">
        <v>0</v>
      </c>
      <c r="AR89" s="4">
        <v>0</v>
      </c>
      <c r="AS89" s="4">
        <f>1021.19-100</f>
        <v>921.19</v>
      </c>
      <c r="AT89" s="4">
        <f t="shared" si="22"/>
        <v>921.19</v>
      </c>
      <c r="AU89" s="11">
        <v>0</v>
      </c>
      <c r="AV89" s="11">
        <v>0</v>
      </c>
      <c r="AW89" s="11">
        <v>100</v>
      </c>
      <c r="AX89" s="11">
        <f>SUM(AU89:AW89)</f>
        <v>100</v>
      </c>
      <c r="AY89" s="11">
        <f t="shared" si="23"/>
        <v>313029.07</v>
      </c>
    </row>
    <row r="90" spans="1:51">
      <c r="A90" s="14" t="s">
        <v>198</v>
      </c>
      <c r="B90" s="6" t="s">
        <v>199</v>
      </c>
      <c r="C90" s="11">
        <v>0</v>
      </c>
      <c r="D90" s="11">
        <v>0</v>
      </c>
      <c r="E90" s="11">
        <v>0</v>
      </c>
      <c r="F90" s="11">
        <f t="shared" si="12"/>
        <v>0</v>
      </c>
      <c r="G90" s="11">
        <v>0</v>
      </c>
      <c r="H90" s="11">
        <v>0</v>
      </c>
      <c r="I90" s="11">
        <v>0</v>
      </c>
      <c r="J90" s="11">
        <f t="shared" si="13"/>
        <v>0</v>
      </c>
      <c r="K90" s="11">
        <v>0</v>
      </c>
      <c r="L90" s="11">
        <v>0</v>
      </c>
      <c r="M90" s="11">
        <v>0</v>
      </c>
      <c r="N90" s="11">
        <f t="shared" si="14"/>
        <v>0</v>
      </c>
      <c r="O90" s="11">
        <v>0</v>
      </c>
      <c r="P90" s="11">
        <v>0</v>
      </c>
      <c r="Q90" s="11">
        <v>0</v>
      </c>
      <c r="R90" s="11">
        <f t="shared" si="15"/>
        <v>0</v>
      </c>
      <c r="S90" s="11">
        <v>0</v>
      </c>
      <c r="T90" s="11">
        <v>0</v>
      </c>
      <c r="U90" s="11">
        <v>21761.16</v>
      </c>
      <c r="V90" s="4">
        <f t="shared" si="16"/>
        <v>21761.16</v>
      </c>
      <c r="W90" s="11">
        <v>0</v>
      </c>
      <c r="X90" s="11">
        <v>0</v>
      </c>
      <c r="Y90" s="11">
        <v>21761.16</v>
      </c>
      <c r="Z90" s="4">
        <f t="shared" si="17"/>
        <v>21761.16</v>
      </c>
      <c r="AA90" s="11">
        <v>0</v>
      </c>
      <c r="AB90" s="11">
        <v>0</v>
      </c>
      <c r="AC90" s="11">
        <v>21761.16</v>
      </c>
      <c r="AD90" s="4">
        <f t="shared" si="18"/>
        <v>21761.16</v>
      </c>
      <c r="AE90" s="11">
        <v>0</v>
      </c>
      <c r="AF90" s="11">
        <v>0</v>
      </c>
      <c r="AG90" s="11">
        <v>21761.16</v>
      </c>
      <c r="AH90" s="4">
        <f t="shared" si="19"/>
        <v>21761.16</v>
      </c>
      <c r="AI90" s="11">
        <v>0</v>
      </c>
      <c r="AJ90" s="11">
        <v>0</v>
      </c>
      <c r="AK90" s="11">
        <v>21761.16</v>
      </c>
      <c r="AL90" s="4">
        <f t="shared" si="20"/>
        <v>21761.16</v>
      </c>
      <c r="AM90" s="11">
        <v>0</v>
      </c>
      <c r="AN90" s="11">
        <v>0</v>
      </c>
      <c r="AO90" s="11">
        <v>21761.16</v>
      </c>
      <c r="AP90" s="4">
        <f t="shared" si="21"/>
        <v>21761.16</v>
      </c>
      <c r="AQ90" s="4">
        <v>0</v>
      </c>
      <c r="AR90" s="4">
        <v>0</v>
      </c>
      <c r="AS90" s="4">
        <v>4650.91</v>
      </c>
      <c r="AT90" s="4">
        <f t="shared" si="22"/>
        <v>4650.91</v>
      </c>
      <c r="AU90" s="11">
        <v>0</v>
      </c>
      <c r="AV90" s="11">
        <v>0</v>
      </c>
      <c r="AW90" s="11">
        <v>100</v>
      </c>
      <c r="AX90" s="11">
        <f>SUM(AU90:AW90)</f>
        <v>100</v>
      </c>
      <c r="AY90" s="11">
        <f t="shared" si="23"/>
        <v>135317.87</v>
      </c>
    </row>
    <row r="91" spans="1:51">
      <c r="A91" s="14" t="s">
        <v>200</v>
      </c>
      <c r="B91" s="6" t="s">
        <v>201</v>
      </c>
      <c r="C91" s="11">
        <v>0</v>
      </c>
      <c r="D91" s="11">
        <v>0</v>
      </c>
      <c r="E91" s="11">
        <v>0</v>
      </c>
      <c r="F91" s="11">
        <f t="shared" si="12"/>
        <v>0</v>
      </c>
      <c r="G91" s="11">
        <v>0</v>
      </c>
      <c r="H91" s="11">
        <v>0</v>
      </c>
      <c r="I91" s="11">
        <v>0</v>
      </c>
      <c r="J91" s="11">
        <f t="shared" si="13"/>
        <v>0</v>
      </c>
      <c r="K91" s="11">
        <v>0</v>
      </c>
      <c r="L91" s="11">
        <v>0</v>
      </c>
      <c r="M91" s="11">
        <v>0</v>
      </c>
      <c r="N91" s="11">
        <f t="shared" si="14"/>
        <v>0</v>
      </c>
      <c r="O91" s="11">
        <v>0</v>
      </c>
      <c r="P91" s="11">
        <v>0</v>
      </c>
      <c r="Q91" s="11">
        <v>0</v>
      </c>
      <c r="R91" s="11">
        <f t="shared" si="15"/>
        <v>0</v>
      </c>
      <c r="S91" s="11">
        <v>0</v>
      </c>
      <c r="T91" s="11">
        <v>0</v>
      </c>
      <c r="U91" s="11">
        <v>10880.58</v>
      </c>
      <c r="V91" s="4">
        <f t="shared" si="16"/>
        <v>10880.58</v>
      </c>
      <c r="W91" s="11">
        <v>0</v>
      </c>
      <c r="X91" s="11">
        <v>0</v>
      </c>
      <c r="Y91" s="11">
        <v>10880.58</v>
      </c>
      <c r="Z91" s="4">
        <f t="shared" si="17"/>
        <v>10880.58</v>
      </c>
      <c r="AA91" s="11">
        <v>0</v>
      </c>
      <c r="AB91" s="11">
        <v>0</v>
      </c>
      <c r="AC91" s="11">
        <v>10880.58</v>
      </c>
      <c r="AD91" s="4">
        <f t="shared" si="18"/>
        <v>10880.58</v>
      </c>
      <c r="AE91" s="11">
        <v>0</v>
      </c>
      <c r="AF91" s="11">
        <v>0</v>
      </c>
      <c r="AG91" s="11">
        <v>10880.58</v>
      </c>
      <c r="AH91" s="4">
        <f t="shared" si="19"/>
        <v>10880.58</v>
      </c>
      <c r="AI91" s="11">
        <v>0</v>
      </c>
      <c r="AJ91" s="11">
        <v>0</v>
      </c>
      <c r="AK91" s="11">
        <v>10880.58</v>
      </c>
      <c r="AL91" s="4">
        <f t="shared" si="20"/>
        <v>10880.58</v>
      </c>
      <c r="AM91" s="11">
        <v>0</v>
      </c>
      <c r="AN91" s="11">
        <v>0</v>
      </c>
      <c r="AO91" s="11">
        <v>10880.58</v>
      </c>
      <c r="AP91" s="4">
        <f t="shared" si="21"/>
        <v>10880.58</v>
      </c>
      <c r="AQ91" s="4">
        <v>0</v>
      </c>
      <c r="AR91" s="4">
        <v>0</v>
      </c>
      <c r="AS91" s="11">
        <v>2275.46</v>
      </c>
      <c r="AT91" s="4">
        <f t="shared" si="22"/>
        <v>2275.46</v>
      </c>
      <c r="AU91" s="11">
        <v>0</v>
      </c>
      <c r="AV91" s="11">
        <v>0</v>
      </c>
      <c r="AW91" s="11">
        <v>100</v>
      </c>
      <c r="AX91" s="11">
        <f>SUM(AU91:AW91)</f>
        <v>100</v>
      </c>
      <c r="AY91" s="11">
        <f t="shared" si="23"/>
        <v>67658.94</v>
      </c>
    </row>
    <row r="92" spans="1:51" ht="15.75">
      <c r="A92" s="14" t="s">
        <v>202</v>
      </c>
      <c r="B92" s="6" t="s">
        <v>203</v>
      </c>
      <c r="C92" s="11">
        <v>0</v>
      </c>
      <c r="D92" s="11">
        <v>0</v>
      </c>
      <c r="E92" s="11">
        <v>0</v>
      </c>
      <c r="F92" s="11">
        <f t="shared" si="12"/>
        <v>0</v>
      </c>
      <c r="G92" s="11">
        <v>0</v>
      </c>
      <c r="H92" s="11">
        <v>0</v>
      </c>
      <c r="I92" s="11">
        <v>0</v>
      </c>
      <c r="J92" s="11">
        <f t="shared" si="13"/>
        <v>0</v>
      </c>
      <c r="K92" s="11">
        <v>0</v>
      </c>
      <c r="L92" s="11">
        <v>0</v>
      </c>
      <c r="M92" s="11">
        <v>0</v>
      </c>
      <c r="N92" s="11">
        <f t="shared" si="14"/>
        <v>0</v>
      </c>
      <c r="O92" s="11">
        <v>0</v>
      </c>
      <c r="P92" s="11">
        <v>0</v>
      </c>
      <c r="Q92" s="11">
        <v>0</v>
      </c>
      <c r="R92" s="11">
        <f t="shared" si="15"/>
        <v>0</v>
      </c>
      <c r="S92" s="11">
        <v>0</v>
      </c>
      <c r="T92" s="11">
        <v>0</v>
      </c>
      <c r="U92" s="11">
        <v>13056.69</v>
      </c>
      <c r="V92" s="4">
        <f t="shared" si="16"/>
        <v>13056.69</v>
      </c>
      <c r="W92" s="11">
        <v>0</v>
      </c>
      <c r="X92" s="11">
        <v>0</v>
      </c>
      <c r="Y92" s="11">
        <v>13056.69</v>
      </c>
      <c r="Z92" s="4">
        <f t="shared" si="17"/>
        <v>13056.69</v>
      </c>
      <c r="AA92" s="11">
        <v>0</v>
      </c>
      <c r="AB92" s="11">
        <v>0</v>
      </c>
      <c r="AC92" s="11">
        <v>13056.69</v>
      </c>
      <c r="AD92" s="4">
        <f t="shared" si="18"/>
        <v>13056.69</v>
      </c>
      <c r="AE92" s="11">
        <v>0</v>
      </c>
      <c r="AF92" s="11">
        <v>0</v>
      </c>
      <c r="AG92" s="11">
        <v>13056.69</v>
      </c>
      <c r="AH92" s="4">
        <f t="shared" si="19"/>
        <v>13056.69</v>
      </c>
      <c r="AI92" s="11">
        <v>0</v>
      </c>
      <c r="AJ92" s="11">
        <v>0</v>
      </c>
      <c r="AK92" s="11">
        <v>13056.69</v>
      </c>
      <c r="AL92" s="4">
        <f t="shared" si="20"/>
        <v>13056.69</v>
      </c>
      <c r="AM92" s="11">
        <v>0</v>
      </c>
      <c r="AN92" s="11">
        <v>0</v>
      </c>
      <c r="AO92" s="11">
        <v>13056.69</v>
      </c>
      <c r="AP92" s="4">
        <f t="shared" si="21"/>
        <v>13056.69</v>
      </c>
      <c r="AQ92" s="4">
        <v>0</v>
      </c>
      <c r="AR92" s="4">
        <v>0</v>
      </c>
      <c r="AS92" s="7">
        <v>2750.58</v>
      </c>
      <c r="AT92" s="4">
        <f t="shared" si="22"/>
        <v>2750.58</v>
      </c>
      <c r="AU92" s="11">
        <v>0</v>
      </c>
      <c r="AV92" s="11">
        <v>0</v>
      </c>
      <c r="AW92" s="11">
        <v>100</v>
      </c>
      <c r="AX92" s="11">
        <f>SUM(AU92:AW92)</f>
        <v>100</v>
      </c>
      <c r="AY92" s="11">
        <f t="shared" si="23"/>
        <v>81190.720000000001</v>
      </c>
    </row>
    <row r="93" spans="1:51">
      <c r="A93" s="14" t="s">
        <v>204</v>
      </c>
      <c r="B93" s="8" t="s">
        <v>205</v>
      </c>
      <c r="C93" s="11">
        <v>0</v>
      </c>
      <c r="D93" s="11">
        <v>0</v>
      </c>
      <c r="E93" s="11">
        <v>0</v>
      </c>
      <c r="F93" s="11">
        <f t="shared" si="12"/>
        <v>0</v>
      </c>
      <c r="G93" s="11">
        <v>0</v>
      </c>
      <c r="H93" s="11">
        <v>0</v>
      </c>
      <c r="I93" s="11">
        <v>0</v>
      </c>
      <c r="J93" s="11">
        <f t="shared" si="13"/>
        <v>0</v>
      </c>
      <c r="K93" s="11">
        <v>0</v>
      </c>
      <c r="L93" s="11">
        <v>0</v>
      </c>
      <c r="M93" s="11">
        <v>0</v>
      </c>
      <c r="N93" s="11">
        <f t="shared" si="14"/>
        <v>0</v>
      </c>
      <c r="O93" s="11">
        <v>0</v>
      </c>
      <c r="P93" s="11">
        <v>0</v>
      </c>
      <c r="Q93" s="11">
        <v>0</v>
      </c>
      <c r="R93" s="11">
        <f t="shared" si="15"/>
        <v>0</v>
      </c>
      <c r="S93" s="11">
        <v>0</v>
      </c>
      <c r="T93" s="11">
        <v>0</v>
      </c>
      <c r="U93" s="11">
        <v>8704.4599999999991</v>
      </c>
      <c r="V93" s="4">
        <f t="shared" si="16"/>
        <v>8704.4599999999991</v>
      </c>
      <c r="W93" s="11">
        <v>0</v>
      </c>
      <c r="X93" s="11">
        <v>0</v>
      </c>
      <c r="Y93" s="11">
        <v>8704.4599999999991</v>
      </c>
      <c r="Z93" s="4">
        <f t="shared" si="17"/>
        <v>8704.4599999999991</v>
      </c>
      <c r="AA93" s="11">
        <v>0</v>
      </c>
      <c r="AB93" s="11">
        <v>0</v>
      </c>
      <c r="AC93" s="11">
        <v>8704.4599999999991</v>
      </c>
      <c r="AD93" s="4">
        <f t="shared" si="18"/>
        <v>8704.4599999999991</v>
      </c>
      <c r="AE93" s="11">
        <v>0</v>
      </c>
      <c r="AF93" s="11">
        <v>0</v>
      </c>
      <c r="AG93" s="11">
        <v>8704.4599999999991</v>
      </c>
      <c r="AH93" s="4">
        <f t="shared" si="19"/>
        <v>8704.4599999999991</v>
      </c>
      <c r="AI93" s="11">
        <v>0</v>
      </c>
      <c r="AJ93" s="11">
        <v>0</v>
      </c>
      <c r="AK93" s="11">
        <v>8704.4599999999991</v>
      </c>
      <c r="AL93" s="4">
        <f t="shared" si="20"/>
        <v>8704.4599999999991</v>
      </c>
      <c r="AM93" s="11">
        <v>0</v>
      </c>
      <c r="AN93" s="11">
        <v>0</v>
      </c>
      <c r="AO93" s="11">
        <v>8704.4599999999991</v>
      </c>
      <c r="AP93" s="4">
        <f t="shared" si="21"/>
        <v>8704.4599999999991</v>
      </c>
      <c r="AQ93" s="4">
        <v>0</v>
      </c>
      <c r="AR93" s="4">
        <v>0</v>
      </c>
      <c r="AS93" s="4">
        <v>1800.39</v>
      </c>
      <c r="AT93" s="4">
        <f t="shared" si="22"/>
        <v>1800.39</v>
      </c>
      <c r="AU93" s="11">
        <v>0</v>
      </c>
      <c r="AV93" s="11">
        <v>0</v>
      </c>
      <c r="AW93" s="11">
        <v>100</v>
      </c>
      <c r="AX93" s="11">
        <f>SUM(AU93:AW93)</f>
        <v>100</v>
      </c>
      <c r="AY93" s="11">
        <f t="shared" si="23"/>
        <v>54127.149999999994</v>
      </c>
    </row>
    <row r="94" spans="1:51">
      <c r="A94" s="9"/>
      <c r="B94" s="9"/>
      <c r="C94" s="11">
        <f t="shared" ref="C94:Y94" si="24">SUM(C3:C93)</f>
        <v>129036926.32059662</v>
      </c>
      <c r="D94" s="11">
        <f t="shared" si="24"/>
        <v>17930437.27</v>
      </c>
      <c r="E94" s="11">
        <f t="shared" si="24"/>
        <v>22735360.550000004</v>
      </c>
      <c r="F94" s="11">
        <f t="shared" si="24"/>
        <v>169702724.14059666</v>
      </c>
      <c r="G94" s="11">
        <f t="shared" si="24"/>
        <v>130317287.63059661</v>
      </c>
      <c r="H94" s="11">
        <f t="shared" si="24"/>
        <v>18582071.829999998</v>
      </c>
      <c r="I94" s="11">
        <f t="shared" si="24"/>
        <v>22733826.660000004</v>
      </c>
      <c r="J94" s="11">
        <f t="shared" si="24"/>
        <v>171633186.12059665</v>
      </c>
      <c r="K94" s="11">
        <f t="shared" si="24"/>
        <v>131101341.24059661</v>
      </c>
      <c r="L94" s="11">
        <f t="shared" si="24"/>
        <v>18582071.829999998</v>
      </c>
      <c r="M94" s="11">
        <f t="shared" si="24"/>
        <v>22795553.670000009</v>
      </c>
      <c r="N94" s="11">
        <f t="shared" si="24"/>
        <v>172478966.74059668</v>
      </c>
      <c r="O94" s="11">
        <f t="shared" si="24"/>
        <v>134567971.11000001</v>
      </c>
      <c r="P94" s="11">
        <f t="shared" si="24"/>
        <v>17982078.489999995</v>
      </c>
      <c r="Q94" s="11">
        <f t="shared" si="24"/>
        <v>21677430.350000005</v>
      </c>
      <c r="R94" s="11">
        <f t="shared" si="24"/>
        <v>174227479.95000008</v>
      </c>
      <c r="S94" s="4">
        <f t="shared" si="24"/>
        <v>140596383.91</v>
      </c>
      <c r="T94" s="4">
        <f t="shared" si="24"/>
        <v>18750599.039999999</v>
      </c>
      <c r="U94" s="4">
        <f t="shared" si="24"/>
        <v>22696242.620000005</v>
      </c>
      <c r="V94" s="4">
        <f t="shared" si="24"/>
        <v>182043225.56999987</v>
      </c>
      <c r="W94" s="4">
        <f t="shared" si="24"/>
        <v>140596383.91</v>
      </c>
      <c r="X94" s="4">
        <f t="shared" si="24"/>
        <v>18750599.039999999</v>
      </c>
      <c r="Y94" s="4">
        <f t="shared" si="24"/>
        <v>22696242.620000005</v>
      </c>
      <c r="Z94" s="4">
        <f t="shared" si="17"/>
        <v>182043225.56999999</v>
      </c>
      <c r="AA94" s="4">
        <f t="shared" ref="AA94:AT94" si="25">SUM(AA3:AA93)</f>
        <v>140596383.91</v>
      </c>
      <c r="AB94" s="4">
        <f t="shared" si="25"/>
        <v>18750599.039999999</v>
      </c>
      <c r="AC94" s="4">
        <f t="shared" si="25"/>
        <v>22686242.620000005</v>
      </c>
      <c r="AD94" s="4">
        <f t="shared" si="25"/>
        <v>182033225.56999987</v>
      </c>
      <c r="AE94" s="4">
        <f t="shared" si="25"/>
        <v>140596383.91</v>
      </c>
      <c r="AF94" s="4">
        <f t="shared" si="25"/>
        <v>18750599.039999999</v>
      </c>
      <c r="AG94" s="4">
        <f t="shared" si="25"/>
        <v>22676242.620000005</v>
      </c>
      <c r="AH94" s="4">
        <f t="shared" si="25"/>
        <v>182023225.56999987</v>
      </c>
      <c r="AI94" s="4">
        <f t="shared" si="25"/>
        <v>140596383.91</v>
      </c>
      <c r="AJ94" s="4">
        <f t="shared" si="25"/>
        <v>18750599.039999999</v>
      </c>
      <c r="AK94" s="4">
        <f t="shared" si="25"/>
        <v>22686242.620000005</v>
      </c>
      <c r="AL94" s="4">
        <f t="shared" si="25"/>
        <v>182033225.56999987</v>
      </c>
      <c r="AM94" s="4">
        <f t="shared" si="25"/>
        <v>139224648.13</v>
      </c>
      <c r="AN94" s="4">
        <f t="shared" si="25"/>
        <v>18750599.039999999</v>
      </c>
      <c r="AO94" s="4">
        <f t="shared" si="25"/>
        <v>22414216.040000007</v>
      </c>
      <c r="AP94" s="4">
        <f t="shared" si="25"/>
        <v>180389463.20999989</v>
      </c>
      <c r="AQ94" s="4">
        <f t="shared" si="25"/>
        <v>6652394.6999999993</v>
      </c>
      <c r="AR94" s="4">
        <f t="shared" si="25"/>
        <v>829329.46999999986</v>
      </c>
      <c r="AS94" s="4">
        <f t="shared" si="25"/>
        <v>998085.9800000001</v>
      </c>
      <c r="AT94" s="4">
        <f t="shared" si="25"/>
        <v>8479810.1500000004</v>
      </c>
      <c r="AU94" s="11">
        <f>SUM(AU3:AU93)</f>
        <v>5600</v>
      </c>
      <c r="AV94" s="11">
        <f>SUM(AV3:AV93)</f>
        <v>3100</v>
      </c>
      <c r="AW94" s="11">
        <f>SUM(AW3:AW93)</f>
        <v>17290.93</v>
      </c>
      <c r="AX94" s="11">
        <f>SUM(AU94:AW94)</f>
        <v>25990.93</v>
      </c>
      <c r="AY94" s="11">
        <f>SUM(AY3:AY93)</f>
        <v>1787113749.0917897</v>
      </c>
    </row>
    <row r="95" spans="1:51">
      <c r="V95" s="18"/>
    </row>
  </sheetData>
  <mergeCells count="13">
    <mergeCell ref="AY1:AY2"/>
    <mergeCell ref="AA1:AD1"/>
    <mergeCell ref="AE1:AH1"/>
    <mergeCell ref="AI1:AL1"/>
    <mergeCell ref="AM1:AP1"/>
    <mergeCell ref="AQ1:AT1"/>
    <mergeCell ref="AU1:AX1"/>
    <mergeCell ref="C1:F1"/>
    <mergeCell ref="G1:J1"/>
    <mergeCell ref="K1:N1"/>
    <mergeCell ref="O1:R1"/>
    <mergeCell ref="S1:V1"/>
    <mergeCell ref="W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2018-05-11T13:17:42Z</dcterms:created>
  <dcterms:modified xsi:type="dcterms:W3CDTF">2018-05-11T13:20:15Z</dcterms:modified>
</cp:coreProperties>
</file>